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 PC\Documents\FILE TAHUN 2024\LAPORAN AKHIR TAHUN 2024 DAK &amp; DAU\"/>
    </mc:Choice>
  </mc:AlternateContent>
  <bookViews>
    <workbookView xWindow="0" yWindow="0" windowWidth="20490" windowHeight="6960" tabRatio="497" firstSheet="2" activeTab="2"/>
  </bookViews>
  <sheets>
    <sheet name="air minum Juni" sheetId="3" state="hidden" r:id="rId1"/>
    <sheet name="sanitasi agustus" sheetId="4" state="hidden" r:id="rId2"/>
    <sheet name="LAP. SPAM 2024" sheetId="9" r:id="rId3"/>
  </sheets>
  <definedNames>
    <definedName name="_xlnm.Print_Area" localSheetId="0">'air minum Juni'!$A$1:$W$24</definedName>
    <definedName name="_xlnm.Print_Area" localSheetId="2">'LAP. SPAM 2024'!$A$1:$V$37</definedName>
    <definedName name="_xlnm.Print_Area" localSheetId="1">'sanitasi agustus'!$A$2:$R$32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9" l="1"/>
  <c r="X12" i="9" s="1"/>
  <c r="P27" i="9"/>
  <c r="J27" i="9"/>
  <c r="AA28" i="9"/>
  <c r="AB28" i="9" s="1"/>
  <c r="Z28" i="9"/>
  <c r="W28" i="9"/>
  <c r="X28" i="9" s="1"/>
  <c r="AA26" i="9"/>
  <c r="AB26" i="9" s="1"/>
  <c r="Z26" i="9"/>
  <c r="AA25" i="9"/>
  <c r="AB25" i="9" s="1"/>
  <c r="Z25" i="9"/>
  <c r="AA24" i="9"/>
  <c r="AB24" i="9" s="1"/>
  <c r="Z24" i="9"/>
  <c r="L20" i="9"/>
  <c r="K20" i="9"/>
  <c r="K27" i="9" s="1"/>
  <c r="J20" i="9"/>
  <c r="Z21" i="9"/>
  <c r="W21" i="9"/>
  <c r="X21" i="9" s="1"/>
  <c r="X19" i="9"/>
  <c r="W16" i="9"/>
  <c r="AA15" i="9"/>
  <c r="AB15" i="9" s="1"/>
  <c r="Z15" i="9"/>
  <c r="W15" i="9"/>
  <c r="AA14" i="9"/>
  <c r="AB14" i="9" s="1"/>
  <c r="Z14" i="9"/>
  <c r="W14" i="9"/>
  <c r="AA13" i="9"/>
  <c r="AB13" i="9" s="1"/>
  <c r="Z13" i="9"/>
  <c r="X13" i="9"/>
  <c r="AA12" i="9"/>
  <c r="AB12" i="9" s="1"/>
  <c r="Z12" i="9"/>
  <c r="AA11" i="9"/>
  <c r="AB11" i="9" s="1"/>
  <c r="Z11" i="9"/>
  <c r="AA10" i="9"/>
  <c r="AB10" i="9" s="1"/>
  <c r="Z10" i="9"/>
  <c r="X10" i="9"/>
  <c r="AA9" i="9"/>
  <c r="AB9" i="9" s="1"/>
  <c r="Z9" i="9"/>
  <c r="X1" i="9"/>
  <c r="J28" i="9" l="1"/>
  <c r="T23" i="9" s="1"/>
  <c r="P20" i="9"/>
  <c r="P28" i="9" s="1"/>
  <c r="T25" i="9" l="1"/>
  <c r="T17" i="9"/>
  <c r="T22" i="9"/>
  <c r="R15" i="9"/>
  <c r="T24" i="9"/>
  <c r="T15" i="9"/>
  <c r="T14" i="9"/>
  <c r="T12" i="9"/>
  <c r="T16" i="9"/>
  <c r="R12" i="9"/>
  <c r="T10" i="9"/>
  <c r="T13" i="9"/>
  <c r="R23" i="9"/>
  <c r="T19" i="9"/>
  <c r="R16" i="9"/>
  <c r="R17" i="9"/>
  <c r="R11" i="9"/>
  <c r="R25" i="9"/>
  <c r="T11" i="9"/>
  <c r="R22" i="9"/>
  <c r="T26" i="9"/>
  <c r="R9" i="9"/>
  <c r="R19" i="9"/>
  <c r="R13" i="9"/>
  <c r="T18" i="9"/>
  <c r="R10" i="9"/>
  <c r="R24" i="9"/>
  <c r="T9" i="9"/>
  <c r="R26" i="9"/>
  <c r="R14" i="9"/>
  <c r="R18" i="9"/>
  <c r="T20" i="9" l="1"/>
  <c r="R20" i="9"/>
  <c r="T27" i="9"/>
  <c r="R27" i="9"/>
  <c r="T28" i="9" l="1"/>
  <c r="R28" i="9"/>
  <c r="N17" i="3" l="1"/>
  <c r="J31" i="4" l="1"/>
  <c r="W2" i="4"/>
  <c r="M19" i="4"/>
  <c r="M20" i="4" s="1"/>
  <c r="L18" i="4"/>
  <c r="N18" i="4" l="1"/>
  <c r="P18" i="4"/>
  <c r="P29" i="4"/>
  <c r="N30" i="4"/>
  <c r="P25" i="4"/>
  <c r="P30" i="4"/>
  <c r="P28" i="4"/>
  <c r="P19" i="4"/>
  <c r="P27" i="4"/>
  <c r="P20" i="4"/>
  <c r="P21" i="4"/>
  <c r="P22" i="4"/>
  <c r="P26" i="4"/>
  <c r="P23" i="4"/>
  <c r="P24" i="4"/>
  <c r="L19" i="4"/>
  <c r="N19" i="4" s="1"/>
  <c r="M21" i="4"/>
  <c r="L20" i="4"/>
  <c r="N20" i="4" s="1"/>
  <c r="L21" i="3"/>
  <c r="L22" i="3" s="1"/>
  <c r="L20" i="3"/>
  <c r="L21" i="4" l="1"/>
  <c r="N21" i="4" s="1"/>
  <c r="M22" i="4"/>
  <c r="M23" i="4" l="1"/>
  <c r="L22" i="4"/>
  <c r="N22" i="4" s="1"/>
  <c r="L23" i="3"/>
  <c r="AC22" i="3"/>
  <c r="AD22" i="3" s="1"/>
  <c r="M22" i="3"/>
  <c r="I22" i="3"/>
  <c r="J22" i="3" s="1"/>
  <c r="G22" i="3"/>
  <c r="H22" i="3" s="1"/>
  <c r="Y22" i="3" s="1"/>
  <c r="Z22" i="3" s="1"/>
  <c r="AC21" i="3"/>
  <c r="AD21" i="3" s="1"/>
  <c r="M21" i="3"/>
  <c r="I21" i="3"/>
  <c r="J21" i="3" s="1"/>
  <c r="G21" i="3"/>
  <c r="AB21" i="3" s="1"/>
  <c r="AC20" i="3"/>
  <c r="AD20" i="3" s="1"/>
  <c r="M20" i="3"/>
  <c r="I20" i="3"/>
  <c r="J20" i="3" s="1"/>
  <c r="G20" i="3"/>
  <c r="AB20" i="3" s="1"/>
  <c r="AC19" i="3"/>
  <c r="AD19" i="3" s="1"/>
  <c r="M19" i="3"/>
  <c r="I19" i="3"/>
  <c r="J19" i="3" s="1"/>
  <c r="G19" i="3"/>
  <c r="AB19" i="3" s="1"/>
  <c r="S10" i="3"/>
  <c r="R9" i="3"/>
  <c r="K17" i="3"/>
  <c r="K23" i="3" s="1"/>
  <c r="I16" i="3"/>
  <c r="L16" i="3" s="1"/>
  <c r="G16" i="3"/>
  <c r="AB16" i="3" s="1"/>
  <c r="AC15" i="3"/>
  <c r="AD15" i="3" s="1"/>
  <c r="I15" i="3"/>
  <c r="J15" i="3" s="1"/>
  <c r="G15" i="3"/>
  <c r="AC14" i="3"/>
  <c r="AD14" i="3" s="1"/>
  <c r="L14" i="3"/>
  <c r="I14" i="3"/>
  <c r="J14" i="3" s="1"/>
  <c r="G14" i="3"/>
  <c r="H14" i="3" s="1"/>
  <c r="AC13" i="3"/>
  <c r="AD13" i="3" s="1"/>
  <c r="L13" i="3"/>
  <c r="I13" i="3"/>
  <c r="J13" i="3" s="1"/>
  <c r="G13" i="3"/>
  <c r="AB13" i="3" s="1"/>
  <c r="AC12" i="3"/>
  <c r="AD12" i="3" s="1"/>
  <c r="I12" i="3"/>
  <c r="L12" i="3" s="1"/>
  <c r="G12" i="3"/>
  <c r="AB12" i="3" s="1"/>
  <c r="AC11" i="3"/>
  <c r="AD11" i="3" s="1"/>
  <c r="L11" i="3"/>
  <c r="I11" i="3"/>
  <c r="J11" i="3" s="1"/>
  <c r="G11" i="3"/>
  <c r="AB11" i="3" s="1"/>
  <c r="AC10" i="3"/>
  <c r="AD10" i="3" s="1"/>
  <c r="L10" i="3"/>
  <c r="I10" i="3"/>
  <c r="J10" i="3" s="1"/>
  <c r="G10" i="3"/>
  <c r="H10" i="3" s="1"/>
  <c r="AC9" i="3"/>
  <c r="AD9" i="3" s="1"/>
  <c r="L9" i="3"/>
  <c r="I9" i="3"/>
  <c r="J9" i="3" s="1"/>
  <c r="G9" i="3"/>
  <c r="AB9" i="3" s="1"/>
  <c r="Z1" i="3"/>
  <c r="R10" i="3" l="1"/>
  <c r="M11" i="3"/>
  <c r="H19" i="3"/>
  <c r="M12" i="3"/>
  <c r="M14" i="3"/>
  <c r="M16" i="3"/>
  <c r="M10" i="3"/>
  <c r="L23" i="4"/>
  <c r="N23" i="4" s="1"/>
  <c r="M24" i="4"/>
  <c r="AB22" i="3"/>
  <c r="H20" i="3"/>
  <c r="H21" i="3"/>
  <c r="S11" i="3"/>
  <c r="L15" i="3"/>
  <c r="L17" i="3" s="1"/>
  <c r="L24" i="3" s="1"/>
  <c r="H16" i="3"/>
  <c r="Y16" i="3" s="1"/>
  <c r="Z16" i="3" s="1"/>
  <c r="H11" i="3"/>
  <c r="J12" i="3"/>
  <c r="AB10" i="3"/>
  <c r="AB15" i="3"/>
  <c r="H9" i="3"/>
  <c r="M9" i="3"/>
  <c r="AB14" i="3"/>
  <c r="H15" i="3"/>
  <c r="Y15" i="3" s="1"/>
  <c r="H12" i="3"/>
  <c r="Y12" i="3" s="1"/>
  <c r="Z12" i="3" s="1"/>
  <c r="H13" i="3"/>
  <c r="J16" i="3"/>
  <c r="T19" i="3" l="1"/>
  <c r="T20" i="3"/>
  <c r="T21" i="3"/>
  <c r="V19" i="3"/>
  <c r="T22" i="3"/>
  <c r="V21" i="3"/>
  <c r="V22" i="3"/>
  <c r="V20" i="3"/>
  <c r="T10" i="3"/>
  <c r="V16" i="3"/>
  <c r="V13" i="3"/>
  <c r="V11" i="3"/>
  <c r="T9" i="3"/>
  <c r="V10" i="3"/>
  <c r="V14" i="3"/>
  <c r="V12" i="3"/>
  <c r="V9" i="3"/>
  <c r="V15" i="3"/>
  <c r="M25" i="4"/>
  <c r="L24" i="4"/>
  <c r="N24" i="4" s="1"/>
  <c r="R23" i="3"/>
  <c r="R11" i="3"/>
  <c r="S12" i="3"/>
  <c r="M17" i="3"/>
  <c r="M15" i="3"/>
  <c r="T11" i="3" l="1"/>
  <c r="M23" i="3"/>
  <c r="T23" i="3"/>
  <c r="L25" i="4"/>
  <c r="N25" i="4" s="1"/>
  <c r="M26" i="4"/>
  <c r="R12" i="3"/>
  <c r="T12" i="3" s="1"/>
  <c r="S13" i="3"/>
  <c r="M27" i="4" l="1"/>
  <c r="L26" i="4"/>
  <c r="N26" i="4" s="1"/>
  <c r="S14" i="3"/>
  <c r="R13" i="3"/>
  <c r="T13" i="3" s="1"/>
  <c r="L27" i="4" l="1"/>
  <c r="N27" i="4" s="1"/>
  <c r="M28" i="4"/>
  <c r="S15" i="3"/>
  <c r="R14" i="3"/>
  <c r="T14" i="3" s="1"/>
  <c r="M29" i="4" l="1"/>
  <c r="L29" i="4" s="1"/>
  <c r="N29" i="4" s="1"/>
  <c r="L28" i="4"/>
  <c r="N28" i="4" s="1"/>
  <c r="S16" i="3"/>
  <c r="R16" i="3" s="1"/>
  <c r="R15" i="3"/>
  <c r="T15" i="3" s="1"/>
  <c r="T16" i="3" l="1"/>
  <c r="T17" i="3" s="1"/>
  <c r="T24" i="3" s="1"/>
  <c r="R17" i="3"/>
  <c r="R24" i="3" s="1"/>
</calcChain>
</file>

<file path=xl/sharedStrings.xml><?xml version="1.0" encoding="utf-8"?>
<sst xmlns="http://schemas.openxmlformats.org/spreadsheetml/2006/main" count="343" uniqueCount="260">
  <si>
    <t>DINAS PERUMAHAN KAWASAN PERMUKIMAN DAN PERTANAHAN KAB. ALOR</t>
  </si>
  <si>
    <t>No</t>
  </si>
  <si>
    <t>Kapasitas / Volume</t>
  </si>
  <si>
    <t>REALISASI KEUANGAN</t>
  </si>
  <si>
    <t>PROGRES FISIK</t>
  </si>
  <si>
    <t>KET</t>
  </si>
  <si>
    <t>Unit</t>
  </si>
  <si>
    <t xml:space="preserve">   (Rp)</t>
  </si>
  <si>
    <t>%</t>
  </si>
  <si>
    <t>Bobot</t>
  </si>
  <si>
    <t>Paket</t>
  </si>
  <si>
    <t>TAHUN ANGGARAN 2022</t>
  </si>
  <si>
    <t>LAPORAN KEGIATAN BIDANG KAWASAN PERMUKIMAN BIDANG AIR MINUM (DAK)</t>
  </si>
  <si>
    <t>Lokasi</t>
  </si>
  <si>
    <t>Nama Paket</t>
  </si>
  <si>
    <t>Pagu</t>
  </si>
  <si>
    <t>Nilai Kontrak</t>
  </si>
  <si>
    <t>Sisa Tender</t>
  </si>
  <si>
    <t>% Sisa</t>
  </si>
  <si>
    <t>10% dari nilai Kontrak</t>
  </si>
  <si>
    <t>Sisa Adendum</t>
  </si>
  <si>
    <t>Penyedia</t>
  </si>
  <si>
    <t>Tanggal Kontrak</t>
  </si>
  <si>
    <t>Nilai Fisik</t>
  </si>
  <si>
    <t>Nilai PPN</t>
  </si>
  <si>
    <t>Desa Silaipui</t>
  </si>
  <si>
    <t>Pembangunan SPAM di Desa Silaipui</t>
  </si>
  <si>
    <t>CV. Sumber Bahagia / Kuasa Direktur ; Abner Ndoen</t>
  </si>
  <si>
    <t>Tgl. 4 April - 30 Oktober 2022</t>
  </si>
  <si>
    <t>Kelurahan Adang</t>
  </si>
  <si>
    <t>Pembangunan SPAM di Kelurahan Adang</t>
  </si>
  <si>
    <t>CV. Yasanto Mulia / Kuasa Direktur ;   Effendi</t>
  </si>
  <si>
    <t xml:space="preserve">Tgl. 4 April - 30 Oktober 2022 </t>
  </si>
  <si>
    <t xml:space="preserve"> </t>
  </si>
  <si>
    <t>Desa Wakapsir Timur</t>
  </si>
  <si>
    <t>Pembangunan SPAM di Desa Wakapsir Timur</t>
  </si>
  <si>
    <t>CV. Rivald / Kuasa Direktur ; Ida Wayan Aprilyanto Setiawan</t>
  </si>
  <si>
    <t>Desa Motongbang</t>
  </si>
  <si>
    <t>Pembangunan SPAM di Desa Motongbang</t>
  </si>
  <si>
    <t>CV. Alpha et Omega / Kuasa Direktur; Anisah Salomons</t>
  </si>
  <si>
    <t>Desa Kopidil</t>
  </si>
  <si>
    <t>Peningkatan SPAM di Desa Kopidil</t>
  </si>
  <si>
    <t>Desa Kailesa</t>
  </si>
  <si>
    <t>Pembangunan SPAM di Desa Kailesa</t>
  </si>
  <si>
    <t>CV. Dwi Tama/ Kuasa Direktur; Thi Au Tek</t>
  </si>
  <si>
    <t>Desa Likwatang</t>
  </si>
  <si>
    <t>Pembangunan SPAM di Desa Likwatang</t>
  </si>
  <si>
    <t>Desa Talwai</t>
  </si>
  <si>
    <t>Pembangunan SPAM di Desa Talwai</t>
  </si>
  <si>
    <t>CV. MahaRani/Kuasa Direktur; Aisyah Bahweres</t>
  </si>
  <si>
    <t>NO &amp; TGL Kontrak</t>
  </si>
  <si>
    <t>NO &amp; TGL Adendum</t>
  </si>
  <si>
    <t>DPKPP.690/11/AM.DAK/2022 (Tgl. 01 April - 27 Oktober 2022) 210 Hari</t>
  </si>
  <si>
    <t>DPKPP.690/12/AM.DAK/2022 (Tgl. 01 April - 27 Oktober 2022) 210 Hari</t>
  </si>
  <si>
    <t>DPKPP.690/13/AM.DAK/2022 (Tgl. 01 April - 27 Oktober 2022) 210 Hari</t>
  </si>
  <si>
    <t>DPKPP.690/14/AM.DAK/2022 (Tgl. 01 April - 27 Oktober 2022) 210 Hari</t>
  </si>
  <si>
    <t>DPKPP.690/15/AM.DAK/2022 (Tgl. 01 April - 27 Oktober 2022) 210 Hari</t>
  </si>
  <si>
    <t>DPKPP.690/16/AM.DAK/2022 (Tgl. 01 April - 27 Oktober 2022) 210 Hari</t>
  </si>
  <si>
    <t>DPKPP.690/17/AM.DAK/2022 (Tgl. 01 April - 27 Oktober 2022) 210 Hari</t>
  </si>
  <si>
    <t>DPKPP.690/69/AM.DAK/2022 (Tgl. 13 April - 08 November 2022) 210 Hari</t>
  </si>
  <si>
    <t xml:space="preserve">DPKPP.690/96/AM.DAK/2022 (Tgl. 28  April 2022 - 27 Oktober 2022   </t>
  </si>
  <si>
    <t xml:space="preserve">DPKPP.690/92/AM.DAK/2022 Tgl. 28  April 2022 - 27 Oktober 2022   </t>
  </si>
  <si>
    <t>DPKPP.690/97/AM.DAK/2022 (Tgl. 28  April 2022 - 08 November 2022 )</t>
  </si>
  <si>
    <t xml:space="preserve">DPKPP.690/95/AM.DAK/2022 (Tgl. 28  April 2022 - 27 Oktober 2022  ) </t>
  </si>
  <si>
    <t>DPKPP.690/91/AM.DAK/2022 (Tgl. 28  April 2022 - 27 Oktober 2022   )</t>
  </si>
  <si>
    <t>DPKPP.690/90/AM.DAK/2022 (Tgl. 28  April 2022 - 27 Oktober 2022   )</t>
  </si>
  <si>
    <t xml:space="preserve">DPKPP.690/93/AM.DAK/2022 (Tgl. 28  April 2022 - 27 Oktober 2022 )  </t>
  </si>
  <si>
    <t>DPKPP.690/94/AM.DAK/2022 (Tgl. 28  April 2022 - 27 Oktober 2022   )</t>
  </si>
  <si>
    <t>A.</t>
  </si>
  <si>
    <t>Rp</t>
  </si>
  <si>
    <t>Progres Fisik</t>
  </si>
  <si>
    <t>Nilai  Terkontrak</t>
  </si>
  <si>
    <t>Realisasi Keuangan</t>
  </si>
  <si>
    <t>Pembangunan / Perluasan SPAM Jaringan Perpipaan</t>
  </si>
  <si>
    <t>B</t>
  </si>
  <si>
    <t>Paket I</t>
  </si>
  <si>
    <t>Jasa Konsultasi Pembangunan / Perluasan SPAM Jaringan Perpipaan</t>
  </si>
  <si>
    <t>Paket 2</t>
  </si>
  <si>
    <t>Paket 3</t>
  </si>
  <si>
    <t>Paket 4</t>
  </si>
  <si>
    <t>Desa Kailesa, Desa Kopidil</t>
  </si>
  <si>
    <t>Desa Wakapsit Timur, Desa Motombang</t>
  </si>
  <si>
    <t>Desa Silaipui, Desa Likwatang</t>
  </si>
  <si>
    <t>Desa Talwai, Kelurahan Adang</t>
  </si>
  <si>
    <t>Keadaan :  07 Juli 2022</t>
  </si>
  <si>
    <t>Pekerjaan Mobilisasai Material, Pekerjaan Mobilisasi 0,61 % dari rencana 4,46% (deviasi - 4,05%)</t>
  </si>
  <si>
    <t>Pekerjaan Reservoir dan ,Pekerjaan Mobilisasi 17,42 % dari rencana 8, 88 % (deviasi + 8,54%)</t>
  </si>
  <si>
    <t>Belum ada Pekerjaan di lokasi, Realisasi 0 % dari rencana 5,17 % (Deviasi -5,17%)</t>
  </si>
  <si>
    <t>Pekerjaan Bak Reservoir telah di kerjakan, Realisasi 21,77% dari rencana 26,10% (Deviasi -4,36%)</t>
  </si>
  <si>
    <t>Pekerjaan Bak reserovir masih dalam proses pekerjaan, pipa sudah di gudang, SR dalam Perakitan , Realisasi 9,55%, Rencana 24,00 (Deviasi - 14,45%)</t>
  </si>
  <si>
    <t>Pekerjaan Bak reservoir masih dalam Proses Pekerjaan, Realisasi 2,17% dari rencana 6,51% (Deviasi - 4,34%)</t>
  </si>
  <si>
    <t xml:space="preserve">TOTAL A </t>
  </si>
  <si>
    <t>TOTAL B</t>
  </si>
  <si>
    <t>TOTAL A + B</t>
  </si>
  <si>
    <t>CV. Sahwana</t>
  </si>
  <si>
    <t>PT. Kencana Adya Daniswara</t>
  </si>
  <si>
    <t>CV. Alam Kreatif Consultan</t>
  </si>
  <si>
    <t>OM ENTO</t>
  </si>
  <si>
    <t>OM YAN</t>
  </si>
  <si>
    <t>OM DEMRIS</t>
  </si>
  <si>
    <t>DPKPP.690/75/AM.DAK/2022. Tanggal 22 APRIL 2022</t>
  </si>
  <si>
    <t>DPKPP.690/76/AM.DAK/2022. Tanggal 22 APRIL 2022</t>
  </si>
  <si>
    <t>DPKPP.690/77/AM.DAK/2022. Tanggal 22 APRIL 2022</t>
  </si>
  <si>
    <t>DPKPP.690/78/AM.DAK/2022. Tanggal 22 APRIL 2022</t>
  </si>
  <si>
    <t>URAIAN  (Program, Kegiatan dan Paket Pekerjaan)</t>
  </si>
  <si>
    <t>LOKASI</t>
  </si>
  <si>
    <t>HARGA SATUAN</t>
  </si>
  <si>
    <t>PELAKSANA</t>
  </si>
  <si>
    <t>NILAI KONTRAK (Rp)</t>
  </si>
  <si>
    <t>NILAI ADENDUM (Rp)</t>
  </si>
  <si>
    <t>NO KONTRAK</t>
  </si>
  <si>
    <t>Pencegahan Perumahan dan Kawasan Perukiman Kumuh Pada daerah Kab/Kota</t>
  </si>
  <si>
    <t xml:space="preserve">1.1. Kerjasama  Perbaikan Rumah Tidak Layak Huni Beserta PSU  diluar kawasan Permukiman Kumuh </t>
  </si>
  <si>
    <t>Dengan Luas dibawah 10 Ha</t>
  </si>
  <si>
    <t>BELANJA OPERASI</t>
  </si>
  <si>
    <t>Belanja Transfer Keuangan Daerah dan Desa (TKDD)</t>
  </si>
  <si>
    <t>DAK Reguler</t>
  </si>
  <si>
    <t>Pembangunan tangki septik skala individual perdesaan minimal 50 KK, Desa Purnama</t>
  </si>
  <si>
    <t>Desa  Purnama</t>
  </si>
  <si>
    <t>KSM. SINAR DESA PURNAMA</t>
  </si>
  <si>
    <t>DPKPP.645/16/SAN/2022</t>
  </si>
  <si>
    <t>Pembangunan tangki septik skala individual perdesaan minimal 50 KK, Desa Pido</t>
  </si>
  <si>
    <t>Desa Pido</t>
  </si>
  <si>
    <t>KSM. HARAPAN BARU DESA PIDO</t>
  </si>
  <si>
    <t>DPKPP.645/14/SAN/2022</t>
  </si>
  <si>
    <t>Pembangunan tangki septik skala individual perdesaan minimal 50 KK, Desa Nailang</t>
  </si>
  <si>
    <t>Desa  Nailang</t>
  </si>
  <si>
    <t>KSM. SEHATI</t>
  </si>
  <si>
    <t>DPKPP.645/15/SAN/2022</t>
  </si>
  <si>
    <t>Pembangunan tangki septik skala individual perdesaan minimal 50 KK, Desa Lella</t>
  </si>
  <si>
    <t>Desa Lella</t>
  </si>
  <si>
    <t>KSM. BERSERI DESA LELLA</t>
  </si>
  <si>
    <t>DPKPP.645/12/SAN/2022</t>
  </si>
  <si>
    <t>Pembangunan tangki septik skala individual perdesaan minimal 50 KK, Desa Silaipui</t>
  </si>
  <si>
    <t>KSM. SIMITASAMA DESA SILAIPUI</t>
  </si>
  <si>
    <t>DPKPP.645/13/SAN/2022</t>
  </si>
  <si>
    <t>Pembangunan tangki septik skala individual perdesaan minimal 50 KK, Desa Taman Mataru</t>
  </si>
  <si>
    <t>Desa Taman Mataru</t>
  </si>
  <si>
    <t>KSM. LOMLENG TAMAN MATARU</t>
  </si>
  <si>
    <t>DPKPP.645/11/SAN/2022</t>
  </si>
  <si>
    <t>Pembangunan tangki septik skala individual perdesaan minimal 50 KK, Desa Kuifana</t>
  </si>
  <si>
    <t>Desa  Kuifana</t>
  </si>
  <si>
    <t>KSM. PIY NAGANI</t>
  </si>
  <si>
    <t>DPKPP.645/8/SAN/2022</t>
  </si>
  <si>
    <t>Pembangunan tangki septik skala individual perdesaan minimal 50 KK, Desa Wakapsir Timur</t>
  </si>
  <si>
    <t>KSM. NUGARIELING</t>
  </si>
  <si>
    <t>DPKPP.645/9/SAN/2022</t>
  </si>
  <si>
    <t>Pembangunan tangki septik skala individual perdesaan minimal 50 KK, Desa Orgen</t>
  </si>
  <si>
    <t>Desa Orgen</t>
  </si>
  <si>
    <t>KSM. NUSANTARA</t>
  </si>
  <si>
    <t>DPKPP.645/10/SAN/2022</t>
  </si>
  <si>
    <t>Pembangunan tangki septik skala individual perdesaan minimal 50 KK, Desa Kalondama</t>
  </si>
  <si>
    <t>Desa Kalondama</t>
  </si>
  <si>
    <t>KSM. PIRANG MANG MANY DESA KALONDAMA</t>
  </si>
  <si>
    <t>DPKPP.645/7/SAN/2022</t>
  </si>
  <si>
    <t>Pembangunan tangki septik skala individual perdesaan minimal 50 KK, Desa Dulolong</t>
  </si>
  <si>
    <t>Desa Dulolong</t>
  </si>
  <si>
    <t>KSM. PERINTIS DESA DULOLONG</t>
  </si>
  <si>
    <t>DPKPP.645/17/SAN/2022</t>
  </si>
  <si>
    <t>Pembangunan tangki septik skala individual perdesaan minimal 50 KK, Desa Manetwati</t>
  </si>
  <si>
    <t>Desa manetwati</t>
  </si>
  <si>
    <t>KSM. HOMKANG DESA MANETWATI</t>
  </si>
  <si>
    <t>DPKPP.645/18/SAN/2022</t>
  </si>
  <si>
    <t>Pembangunan IPAL Kombinasi MCK di pasar kadelang</t>
  </si>
  <si>
    <t>Kel.  Kalabahi Timur</t>
  </si>
  <si>
    <t>DPKPP.645/9/SAN.DAK/2022</t>
  </si>
  <si>
    <t>Kepala Bidang Kawasan Permukiman</t>
  </si>
  <si>
    <t>JEMI P. PLAITUKA, SP</t>
  </si>
  <si>
    <t>Nip. 19800509201001 2 013</t>
  </si>
  <si>
    <t>A</t>
  </si>
  <si>
    <t>LAPORAN KEGIATAN BIDANG KAWASAN PERMUKIMAN BIDANG SANITASI (DAK)</t>
  </si>
  <si>
    <t>J U M L A H</t>
  </si>
  <si>
    <t xml:space="preserve">CV. SUMBA RAYA ABADI </t>
  </si>
  <si>
    <t>JUMLAH SR</t>
  </si>
  <si>
    <t>No &amp; TGL Kontrak</t>
  </si>
  <si>
    <t>Jasa Konsultansi Pengawasan SPAM DAK Paket 1</t>
  </si>
  <si>
    <t>Jasa Konsultansi Pengawasan SPAM DAK Paket 2</t>
  </si>
  <si>
    <t>Jasa Konsultansi Pengawasan SPAM DAK Paket 3</t>
  </si>
  <si>
    <t>Jasa Konsultansi Pengawasan SPAM DAK Paket 4</t>
  </si>
  <si>
    <t>Jasa Konsultansi Pengawasan SPAM DAK Paket 5</t>
  </si>
  <si>
    <t>Nilai  Addendum (RP)</t>
  </si>
  <si>
    <t>CV.PRIMA TEKNIK CONSULTANT/DEMRIS Y. FALLO, A.Md (Kepala Perwakilan)</t>
  </si>
  <si>
    <t>No &amp; TGL Addendum</t>
  </si>
  <si>
    <t>Jemi Polikarpus Plaituka, SP</t>
  </si>
  <si>
    <t>NIP. 19800509201001 1 013</t>
  </si>
  <si>
    <t>TAHUN ANGGARAN 2024</t>
  </si>
  <si>
    <t>Pembangunan SPAM JP di Kelurahan Moru</t>
  </si>
  <si>
    <t>Pembangunan SPAM JP di Desa Merdeka</t>
  </si>
  <si>
    <t>Pembangunan SPAM JP di Desa Tanglapui</t>
  </si>
  <si>
    <t>Pembangunan SPAM JP di Desa Luba</t>
  </si>
  <si>
    <t>Perluasan SPAM JP di Desa Lefokisu</t>
  </si>
  <si>
    <t>Perluasan SPAM JP di Desa Alila</t>
  </si>
  <si>
    <t>Pembangunan SPAM JP di Desa Langkuru</t>
  </si>
  <si>
    <t>Perluasan SPAM JP di Desa Kopidil</t>
  </si>
  <si>
    <t>Perluasan SPAM JP di Desa Wakapsir</t>
  </si>
  <si>
    <t>Perluasan SPAM JP di Desa Sidabui</t>
  </si>
  <si>
    <t>Peningkatan SPAM JP di Desa Welai Selatan</t>
  </si>
  <si>
    <t>Kel. Moru, Kec.Alor Barat Daya</t>
  </si>
  <si>
    <r>
      <t xml:space="preserve">CV. RADITH JAGUAR/KUASA DIREKTUR: </t>
    </r>
    <r>
      <rPr>
        <b/>
        <sz val="12"/>
        <color theme="1"/>
        <rFont val="Arial Narrow"/>
        <family val="2"/>
      </rPr>
      <t>CHRISTIN MEILIEN TENKO</t>
    </r>
  </si>
  <si>
    <r>
      <t xml:space="preserve">CV. PRICYLIA JAYA/KUASA DIREKTUR: </t>
    </r>
    <r>
      <rPr>
        <b/>
        <sz val="12"/>
        <color theme="1"/>
        <rFont val="Arial Narrow"/>
        <family val="2"/>
      </rPr>
      <t>THI AU TEK</t>
    </r>
  </si>
  <si>
    <r>
      <t xml:space="preserve">CV. KARUNIA ANUGERAH/KUASA DIREKTUR: </t>
    </r>
    <r>
      <rPr>
        <b/>
        <sz val="12"/>
        <color theme="1"/>
        <rFont val="Arial Narrow"/>
        <family val="2"/>
      </rPr>
      <t>BUDHI SETIAWAN WIANTO</t>
    </r>
  </si>
  <si>
    <r>
      <t xml:space="preserve">CV.TIRTHA UTAMA JAYA/KUASA DIREKTUR: </t>
    </r>
    <r>
      <rPr>
        <b/>
        <sz val="12"/>
        <color theme="1"/>
        <rFont val="Arial Narrow"/>
        <family val="2"/>
      </rPr>
      <t>ABDUL AHMAD MINTA</t>
    </r>
  </si>
  <si>
    <r>
      <t xml:space="preserve">CV. INTAN BARU/DIREKTUR: </t>
    </r>
    <r>
      <rPr>
        <b/>
        <sz val="12"/>
        <color theme="1"/>
        <rFont val="Arial Narrow"/>
        <family val="2"/>
      </rPr>
      <t>GUNTUR ARDYANSYAH, ST</t>
    </r>
  </si>
  <si>
    <r>
      <t xml:space="preserve">CV. HARAPAN/DIREKTUR: </t>
    </r>
    <r>
      <rPr>
        <b/>
        <sz val="12"/>
        <color theme="1"/>
        <rFont val="Arial Narrow"/>
        <family val="2"/>
      </rPr>
      <t>ZAKHARIAS HANGGE</t>
    </r>
  </si>
  <si>
    <r>
      <t xml:space="preserve">CV. RIVALD/KUASA DIREKTUR: </t>
    </r>
    <r>
      <rPr>
        <b/>
        <sz val="12"/>
        <color theme="1"/>
        <rFont val="Arial Narrow"/>
        <family val="2"/>
      </rPr>
      <t>IDA WAYAN APRILYANTO SETIAWAN</t>
    </r>
  </si>
  <si>
    <t>DPKPP.690/63/DAK/2024, 26 APRIL 2024</t>
  </si>
  <si>
    <t>DPKPP.690/147/DAK/2024, 28 MEI 2024</t>
  </si>
  <si>
    <t>DPKPP.690/67/DAK/2024, 26 APRIL 2024</t>
  </si>
  <si>
    <t>DPKPP.690/148/DAK/2024, 28 MEI 2024</t>
  </si>
  <si>
    <t>DPKPP.690/55/DAK/2024, 26 APRIL 2024</t>
  </si>
  <si>
    <t>DPKPP.690/145/DAK/2024, 28 MEI 2024</t>
  </si>
  <si>
    <t>DPKPP.690/59/DAK/2024, 26 APRIL 2024</t>
  </si>
  <si>
    <t>DPKPP.690/146/DAK/2024, 28 MEI 2024</t>
  </si>
  <si>
    <t>DPKPP.690/75/DAK/2024, 26 APRIL 2024</t>
  </si>
  <si>
    <t>DPKPP.690/150/DAK/2024, 28 MEI 2024</t>
  </si>
  <si>
    <t>DPKPP.690/71/DAK/2024, 26 APRIL 2024</t>
  </si>
  <si>
    <t>DPKPP.690/149/DAK/2024, 28 MEI 2024</t>
  </si>
  <si>
    <t>DPKPP.690/110/DAK/2024, 15 MEI 2024</t>
  </si>
  <si>
    <t>DPKPP.690/152/DAK/2024, 28 MEI 2024</t>
  </si>
  <si>
    <t>DPKPP.690/113/DAK/2024, 15 MEI 2024</t>
  </si>
  <si>
    <t>DPKPP.690/156/DAK/2024, 28 MEI 2024</t>
  </si>
  <si>
    <t>DPKPP.690/112/DAK/2024, 15 MEI 2024</t>
  </si>
  <si>
    <t>DPKPP.690/154/DAK/2024, 28 MEI 2024</t>
  </si>
  <si>
    <t>DPKPP.690/109/DAK/2024, 15 MEI 2024</t>
  </si>
  <si>
    <t>DPKPP.690/151/DAK/2024, 28 MEI 2024</t>
  </si>
  <si>
    <t>DPKPP.690/111/DAK/2024, 15 MEI 2024</t>
  </si>
  <si>
    <t>DPKPP.690/153/DAK/2024, 28 MEI 2024</t>
  </si>
  <si>
    <t>Kepala Bidang Kawasan Permukiman,</t>
  </si>
  <si>
    <t>Desa Merdeka, Kec. Pantar Timur</t>
  </si>
  <si>
    <t>Desa Tanglapui, Kec. Alor Timur</t>
  </si>
  <si>
    <t>Desa Luba, Kec. Lembur</t>
  </si>
  <si>
    <t>Desa Lefokisu, Kec. Alor Barat Laut</t>
  </si>
  <si>
    <t>Desa Alila, Kec. Alor Barat Laut</t>
  </si>
  <si>
    <t>Desa Langkuru, Kec. Pureman</t>
  </si>
  <si>
    <t>Desa Kopidil, Kec. Kabola</t>
  </si>
  <si>
    <t>Desa Wakapsir, Kec. ABAD Selatan</t>
  </si>
  <si>
    <t>Desa Sidabui, Kec. Alor Selatan</t>
  </si>
  <si>
    <t>Desa Welai Selatan, Kec. Alor Tengah Utara</t>
  </si>
  <si>
    <t>Kelurahan Moru dan Desa Wakapsir</t>
  </si>
  <si>
    <t>DPKPP.690/96.c/DAK/2024. Tanggal 08 Mei 2024</t>
  </si>
  <si>
    <t>Desa Luba dan Desa Merdeka</t>
  </si>
  <si>
    <t>Desa Tanglapui dan Desa Langkuru</t>
  </si>
  <si>
    <t>PT. INDOTEC TIGA PUTRA/LIKTAU P. ATALEHI, ST (Kepala Perwakilan)</t>
  </si>
  <si>
    <t>DPKPP.690/114.b/DAK/2024. Tanggal 16 Mei 2024</t>
  </si>
  <si>
    <t>Desa Welai Selatan dan Desa Sidabui</t>
  </si>
  <si>
    <t>PT. DWIPA MITRA KONSULTAN/AGUS PRIYANTO PLAITUKA (Kepala Perwakilan)</t>
  </si>
  <si>
    <t>DPKPP.690/96.d/DAK/2024. Tanggal 08 Mei 2024</t>
  </si>
  <si>
    <t>Desa Lefokisu, Desa Alila dan Desa Kopidil</t>
  </si>
  <si>
    <t>CV. ALAM KREATIF CONSULTAN/PETRUS BERI LEDANG, A.Md  (Kepala Perwakilan)</t>
  </si>
  <si>
    <t>DPKPP.690/142/DAK/2024. Tanggal 28 Mei 2024</t>
  </si>
  <si>
    <t>CV. ASA BHUMI CAKRA/Kepala Perwakilan: MARCH LANGKOLA, ST</t>
  </si>
  <si>
    <t>DPKPP.690/171/DAK/2024. Tanggal 04 Juli 2024</t>
  </si>
  <si>
    <t>Keadaan :  13 Januari 2025</t>
  </si>
  <si>
    <t>Kalabahi, 13 Januari 2025</t>
  </si>
  <si>
    <t>PHO</t>
  </si>
  <si>
    <t>-</t>
  </si>
  <si>
    <t>DPKPP.690/242/DAK/2024, 28 November 2024</t>
  </si>
  <si>
    <t>DPKPP.690/217/DAK/2024, 13 November 2024</t>
  </si>
  <si>
    <t>DPKPP.690/232/DAK/2024, 22 November 2024</t>
  </si>
  <si>
    <t>DPKPP.690/202/DAK/2024, 06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</si>
</sst>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Rp&quot;* #,##0_-;\-&quot;Rp&quot;* #,##0_-;_-&quot;Rp&quot;* &quot;-&quot;_-;_-@_-"/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(* #,##0.00_);_(* \(#,##0.00\);_(* &quot;-&quot;_);_(@_)"/>
    <numFmt numFmtId="167" formatCode="_-&quot;Rp&quot;* #,##0.00_-;\-&quot;Rp&quot;* #,##0.00_-;_-&quot;Rp&quot;* &quot;-&quot;_-;_-@_-"/>
    <numFmt numFmtId="168" formatCode="0.0%"/>
  </numFmts>
  <fonts count="2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4"/>
      <color theme="1"/>
      <name val="Times New Roman"/>
      <family val="1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name val="Book Antiqua"/>
      <family val="1"/>
    </font>
    <font>
      <sz val="12"/>
      <color rgb="FF000000"/>
      <name val="Book Antiqua"/>
      <family val="1"/>
    </font>
    <font>
      <sz val="12"/>
      <color theme="1"/>
      <name val="Footlight MT Light"/>
      <family val="1"/>
    </font>
    <font>
      <b/>
      <sz val="13"/>
      <color theme="1"/>
      <name val="Britannic Bold"/>
      <family val="2"/>
    </font>
    <font>
      <b/>
      <u/>
      <sz val="12"/>
      <color theme="1"/>
      <name val="Arial Narrow"/>
      <family val="2"/>
    </font>
    <font>
      <b/>
      <sz val="20"/>
      <color theme="1"/>
      <name val="Times New Roman"/>
      <family val="1"/>
    </font>
    <font>
      <sz val="20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5" fillId="0" borderId="0" xfId="0" applyFont="1"/>
    <xf numFmtId="9" fontId="5" fillId="0" borderId="0" xfId="0" applyNumberFormat="1" applyFont="1"/>
    <xf numFmtId="42" fontId="5" fillId="0" borderId="0" xfId="3" applyFont="1"/>
    <xf numFmtId="44" fontId="5" fillId="0" borderId="0" xfId="0" applyNumberFormat="1" applyFo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167" fontId="9" fillId="0" borderId="18" xfId="3" applyNumberFormat="1" applyFont="1" applyBorder="1" applyAlignment="1">
      <alignment vertical="top"/>
    </xf>
    <xf numFmtId="10" fontId="9" fillId="0" borderId="18" xfId="4" applyNumberFormat="1" applyFont="1" applyBorder="1" applyAlignment="1">
      <alignment vertical="top"/>
    </xf>
    <xf numFmtId="42" fontId="9" fillId="0" borderId="18" xfId="3" applyFont="1" applyBorder="1" applyAlignment="1">
      <alignment vertical="top"/>
    </xf>
    <xf numFmtId="0" fontId="9" fillId="0" borderId="1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10" fontId="9" fillId="0" borderId="0" xfId="4" applyNumberFormat="1" applyFont="1" applyAlignment="1">
      <alignment vertical="top"/>
    </xf>
    <xf numFmtId="42" fontId="10" fillId="0" borderId="0" xfId="0" applyNumberFormat="1" applyFont="1" applyAlignment="1">
      <alignment vertical="top"/>
    </xf>
    <xf numFmtId="0" fontId="9" fillId="2" borderId="18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vertical="top" wrapText="1"/>
    </xf>
    <xf numFmtId="167" fontId="9" fillId="2" borderId="18" xfId="3" applyNumberFormat="1" applyFont="1" applyFill="1" applyBorder="1" applyAlignment="1">
      <alignment vertical="top"/>
    </xf>
    <xf numFmtId="10" fontId="10" fillId="0" borderId="18" xfId="4" applyNumberFormat="1" applyFont="1" applyBorder="1" applyAlignment="1">
      <alignment vertical="top"/>
    </xf>
    <xf numFmtId="0" fontId="9" fillId="2" borderId="18" xfId="0" applyFont="1" applyFill="1" applyBorder="1" applyAlignment="1">
      <alignment vertical="top" wrapText="1"/>
    </xf>
    <xf numFmtId="10" fontId="9" fillId="0" borderId="0" xfId="0" applyNumberFormat="1" applyFont="1" applyAlignment="1">
      <alignment horizontal="left" vertical="top" wrapText="1"/>
    </xf>
    <xf numFmtId="42" fontId="9" fillId="0" borderId="0" xfId="3" applyFont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42" fontId="10" fillId="2" borderId="0" xfId="0" applyNumberFormat="1" applyFont="1" applyFill="1" applyAlignment="1">
      <alignment vertical="top"/>
    </xf>
    <xf numFmtId="0" fontId="9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vertical="top"/>
    </xf>
    <xf numFmtId="0" fontId="9" fillId="0" borderId="0" xfId="0" applyFont="1"/>
    <xf numFmtId="0" fontId="9" fillId="0" borderId="18" xfId="0" applyFont="1" applyBorder="1"/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9" fontId="9" fillId="0" borderId="18" xfId="0" applyNumberFormat="1" applyFont="1" applyBorder="1" applyAlignment="1">
      <alignment horizontal="left" vertical="top" wrapText="1"/>
    </xf>
    <xf numFmtId="44" fontId="9" fillId="0" borderId="18" xfId="0" applyNumberFormat="1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167" fontId="12" fillId="0" borderId="18" xfId="0" applyNumberFormat="1" applyFont="1" applyBorder="1" applyAlignment="1">
      <alignment vertical="center"/>
    </xf>
    <xf numFmtId="167" fontId="13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2" fontId="12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9" fillId="3" borderId="18" xfId="0" applyFont="1" applyFill="1" applyBorder="1" applyAlignment="1">
      <alignment vertical="top" wrapText="1"/>
    </xf>
    <xf numFmtId="44" fontId="12" fillId="0" borderId="18" xfId="0" applyNumberFormat="1" applyFont="1" applyBorder="1" applyAlignment="1">
      <alignment vertical="center"/>
    </xf>
    <xf numFmtId="167" fontId="12" fillId="0" borderId="16" xfId="0" applyNumberFormat="1" applyFont="1" applyBorder="1" applyAlignment="1">
      <alignment vertical="center"/>
    </xf>
    <xf numFmtId="167" fontId="12" fillId="0" borderId="17" xfId="0" applyNumberFormat="1" applyFont="1" applyBorder="1" applyAlignment="1">
      <alignment vertical="center"/>
    </xf>
    <xf numFmtId="0" fontId="14" fillId="0" borderId="0" xfId="0" applyFont="1"/>
    <xf numFmtId="0" fontId="16" fillId="2" borderId="11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14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14" fillId="0" borderId="6" xfId="2" quotePrefix="1" applyNumberFormat="1" applyFont="1" applyFill="1" applyBorder="1" applyAlignment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/>
    </xf>
    <xf numFmtId="2" fontId="14" fillId="0" borderId="18" xfId="0" applyNumberFormat="1" applyFont="1" applyBorder="1"/>
    <xf numFmtId="0" fontId="14" fillId="0" borderId="18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9" fontId="23" fillId="0" borderId="0" xfId="0" applyNumberFormat="1" applyFont="1"/>
    <xf numFmtId="42" fontId="23" fillId="0" borderId="0" xfId="3" applyFont="1"/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14" fillId="0" borderId="18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41" fontId="17" fillId="0" borderId="18" xfId="2" applyFont="1" applyBorder="1" applyAlignment="1">
      <alignment horizontal="center" vertical="center" wrapText="1"/>
    </xf>
    <xf numFmtId="165" fontId="18" fillId="0" borderId="18" xfId="1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165" fontId="14" fillId="0" borderId="18" xfId="1" applyNumberFormat="1" applyFont="1" applyFill="1" applyBorder="1" applyAlignment="1">
      <alignment horizontal="left" vertical="center"/>
    </xf>
    <xf numFmtId="167" fontId="14" fillId="0" borderId="18" xfId="3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2" fontId="14" fillId="0" borderId="0" xfId="0" applyNumberFormat="1" applyFont="1"/>
    <xf numFmtId="1" fontId="25" fillId="0" borderId="18" xfId="0" applyNumberFormat="1" applyFont="1" applyBorder="1" applyAlignment="1">
      <alignment horizontal="center" vertical="top" wrapText="1"/>
    </xf>
    <xf numFmtId="167" fontId="9" fillId="3" borderId="18" xfId="3" applyNumberFormat="1" applyFont="1" applyFill="1" applyBorder="1" applyAlignment="1">
      <alignment vertical="top"/>
    </xf>
    <xf numFmtId="167" fontId="12" fillId="3" borderId="18" xfId="0" applyNumberFormat="1" applyFont="1" applyFill="1" applyBorder="1" applyAlignment="1">
      <alignment vertical="center"/>
    </xf>
    <xf numFmtId="41" fontId="12" fillId="0" borderId="18" xfId="2" applyFont="1" applyBorder="1" applyAlignment="1">
      <alignment vertical="center"/>
    </xf>
    <xf numFmtId="43" fontId="12" fillId="0" borderId="18" xfId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vertical="top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top" wrapText="1"/>
    </xf>
    <xf numFmtId="167" fontId="14" fillId="0" borderId="18" xfId="3" applyNumberFormat="1" applyFont="1" applyBorder="1" applyAlignment="1">
      <alignment vertical="top"/>
    </xf>
    <xf numFmtId="10" fontId="14" fillId="0" borderId="18" xfId="4" applyNumberFormat="1" applyFont="1" applyBorder="1" applyAlignment="1">
      <alignment vertical="top"/>
    </xf>
    <xf numFmtId="42" fontId="14" fillId="0" borderId="18" xfId="3" applyFont="1" applyBorder="1" applyAlignment="1">
      <alignment vertical="top"/>
    </xf>
    <xf numFmtId="43" fontId="14" fillId="0" borderId="18" xfId="1" applyFont="1" applyBorder="1" applyAlignment="1">
      <alignment horizontal="left" vertical="top" wrapText="1"/>
    </xf>
    <xf numFmtId="1" fontId="14" fillId="0" borderId="18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9" fontId="14" fillId="0" borderId="18" xfId="4" applyFont="1" applyBorder="1" applyAlignment="1">
      <alignment horizontal="left" vertical="top" wrapText="1"/>
    </xf>
    <xf numFmtId="2" fontId="14" fillId="0" borderId="18" xfId="0" applyNumberFormat="1" applyFont="1" applyBorder="1" applyAlignment="1">
      <alignment horizontal="center" vertical="top" wrapText="1"/>
    </xf>
    <xf numFmtId="10" fontId="15" fillId="0" borderId="18" xfId="4" applyNumberFormat="1" applyFont="1" applyBorder="1" applyAlignment="1">
      <alignment horizontal="left" vertical="top" wrapText="1"/>
    </xf>
    <xf numFmtId="0" fontId="14" fillId="2" borderId="18" xfId="0" applyFont="1" applyFill="1" applyBorder="1" applyAlignment="1">
      <alignment horizontal="center" vertical="top" wrapText="1"/>
    </xf>
    <xf numFmtId="167" fontId="14" fillId="2" borderId="18" xfId="3" applyNumberFormat="1" applyFont="1" applyFill="1" applyBorder="1" applyAlignment="1">
      <alignment vertical="top"/>
    </xf>
    <xf numFmtId="10" fontId="26" fillId="0" borderId="18" xfId="4" applyNumberFormat="1" applyFont="1" applyBorder="1" applyAlignment="1">
      <alignment vertical="top"/>
    </xf>
    <xf numFmtId="0" fontId="14" fillId="0" borderId="18" xfId="0" applyFont="1" applyBorder="1" applyAlignment="1">
      <alignment horizontal="center" vertical="top"/>
    </xf>
    <xf numFmtId="168" fontId="14" fillId="0" borderId="18" xfId="4" applyNumberFormat="1" applyFont="1" applyBorder="1" applyAlignment="1">
      <alignment horizontal="left" vertical="top" wrapText="1"/>
    </xf>
    <xf numFmtId="43" fontId="15" fillId="0" borderId="18" xfId="1" applyFont="1" applyBorder="1" applyAlignment="1">
      <alignment horizontal="center" vertical="center" wrapText="1"/>
    </xf>
    <xf numFmtId="167" fontId="14" fillId="3" borderId="18" xfId="3" applyNumberFormat="1" applyFont="1" applyFill="1" applyBorder="1" applyAlignment="1">
      <alignment vertical="top"/>
    </xf>
    <xf numFmtId="0" fontId="14" fillId="3" borderId="18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0" fontId="14" fillId="0" borderId="0" xfId="4" applyNumberFormat="1" applyFont="1" applyAlignment="1">
      <alignment vertical="top"/>
    </xf>
    <xf numFmtId="42" fontId="26" fillId="0" borderId="0" xfId="0" applyNumberFormat="1" applyFont="1" applyAlignment="1">
      <alignment vertical="top"/>
    </xf>
    <xf numFmtId="43" fontId="14" fillId="0" borderId="0" xfId="1" applyFont="1" applyAlignment="1">
      <alignment horizontal="left" vertical="top" wrapText="1"/>
    </xf>
    <xf numFmtId="42" fontId="14" fillId="0" borderId="0" xfId="3" applyFont="1" applyBorder="1" applyAlignment="1">
      <alignment horizontal="left" vertical="top" wrapText="1"/>
    </xf>
    <xf numFmtId="0" fontId="14" fillId="2" borderId="0" xfId="0" applyFont="1" applyFill="1" applyAlignment="1">
      <alignment vertical="top"/>
    </xf>
    <xf numFmtId="42" fontId="26" fillId="2" borderId="0" xfId="0" applyNumberFormat="1" applyFont="1" applyFill="1" applyAlignment="1">
      <alignment vertical="top"/>
    </xf>
    <xf numFmtId="2" fontId="14" fillId="0" borderId="0" xfId="0" applyNumberFormat="1" applyFont="1" applyAlignment="1">
      <alignment horizontal="left" vertical="top" wrapText="1"/>
    </xf>
    <xf numFmtId="10" fontId="14" fillId="0" borderId="0" xfId="0" applyNumberFormat="1" applyFont="1" applyAlignment="1">
      <alignment horizontal="left" vertical="top" wrapText="1"/>
    </xf>
    <xf numFmtId="43" fontId="14" fillId="0" borderId="18" xfId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165" fontId="14" fillId="2" borderId="22" xfId="1" applyNumberFormat="1" applyFont="1" applyFill="1" applyBorder="1" applyAlignment="1">
      <alignment horizontal="right" vertical="top" wrapText="1"/>
    </xf>
    <xf numFmtId="43" fontId="14" fillId="0" borderId="18" xfId="1" applyFont="1" applyBorder="1" applyAlignment="1">
      <alignment horizontal="center" vertical="center" wrapText="1"/>
    </xf>
    <xf numFmtId="43" fontId="14" fillId="0" borderId="18" xfId="1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4" fillId="0" borderId="6" xfId="0" applyFont="1" applyBorder="1"/>
    <xf numFmtId="0" fontId="14" fillId="0" borderId="11" xfId="0" applyFont="1" applyBorder="1"/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</cellXfs>
  <cellStyles count="8">
    <cellStyle name="Comma" xfId="1" builtinId="3"/>
    <cellStyle name="Comma [0]" xfId="2" builtinId="6"/>
    <cellStyle name="Comma [0] 2" xfId="6"/>
    <cellStyle name="Comma 3" xfId="7"/>
    <cellStyle name="Currency [0]" xfId="3" builtinId="7"/>
    <cellStyle name="Normal" xfId="0" builtinId="0"/>
    <cellStyle name="Normal 2" xfId="5"/>
    <cellStyle name="Percent" xfId="4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1530740</xdr:colOff>
      <xdr:row>32</xdr:row>
      <xdr:rowOff>84551</xdr:rowOff>
    </xdr:from>
    <xdr:to>
      <xdr:col>12</xdr:col>
      <xdr:colOff>762001</xdr:colOff>
      <xdr:row>37</xdr:row>
      <xdr:rowOff>137419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9790" y="44251976"/>
          <a:ext cx="2631685" cy="100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1825625</xdr:colOff>
      <xdr:row>31</xdr:row>
      <xdr:rowOff>95251</xdr:rowOff>
    </xdr:from>
    <xdr:to>
      <xdr:col>16</xdr:col>
      <xdr:colOff>141931</xdr:colOff>
      <xdr:row>35</xdr:row>
      <xdr:rowOff>286545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1A84ED7-C861-4F85-A153-8E67045D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5375" y="18097501"/>
          <a:ext cx="2459681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314021</xdr:colOff>
      <xdr:row>43</xdr:row>
      <xdr:rowOff>39386</xdr:rowOff>
    </xdr:from>
    <xdr:to>
      <xdr:col>15</xdr:col>
      <xdr:colOff>1702030</xdr:colOff>
      <xdr:row>50</xdr:row>
      <xdr:rowOff>60816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5F88A-C6E6-4E73-A60F-59045D0B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15087">
          <a:off x="12782246" y="18394061"/>
          <a:ext cx="1388009" cy="1488279"/>
        </a:xfrm>
        <a:prstGeom prst="rect">
          <a:avLst/>
        </a:prstGeom>
      </xdr:spPr>
    </xdr:pic>
    <xdr:clientData/>
  </xdr:twoCellAnchor>
  <xdr:twoCellAnchor editAs="oneCell">
    <xdr:from>
      <xdr:col>23</xdr:col>
      <xdr:colOff>11956</xdr:colOff>
      <xdr:row>29</xdr:row>
      <xdr:rowOff>63933</xdr:rowOff>
    </xdr:from>
    <xdr:to>
      <xdr:col>23</xdr:col>
      <xdr:colOff>1593527</xdr:colOff>
      <xdr:row>31</xdr:row>
      <xdr:rowOff>134667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6D8EA5-1EA2-41FC-9DC6-AF395FC44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9320" b="97087" l="24752" r="88119">
                      <a14:foregroundMark x1="79208" y1="79612" x2="53267" y2="89806"/>
                      <a14:foregroundMark x1="53267" y1="89806" x2="46535" y2="87379"/>
                      <a14:foregroundMark x1="88119" y1="97087" x2="88119" y2="859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245" t="32967" r="7454"/>
        <a:stretch/>
      </xdr:blipFill>
      <xdr:spPr bwMode="auto">
        <a:xfrm>
          <a:off x="21606492" y="14814076"/>
          <a:ext cx="1581571" cy="5741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view="pageBreakPreview" topLeftCell="E1" zoomScale="70" zoomScaleNormal="70" zoomScaleSheetLayoutView="70" workbookViewId="0">
      <selection activeCell="O31" sqref="O31"/>
    </sheetView>
  </sheetViews>
  <sheetFormatPr defaultRowHeight="16.5" x14ac:dyDescent="0.3"/>
  <cols>
    <col min="1" max="1" width="4.85546875" style="33" customWidth="1"/>
    <col min="2" max="2" width="20.140625" style="33" customWidth="1"/>
    <col min="3" max="3" width="16.42578125" style="33" customWidth="1"/>
    <col min="4" max="4" width="22.140625" style="33" hidden="1" customWidth="1"/>
    <col min="5" max="5" width="17" style="33" customWidth="1"/>
    <col min="6" max="6" width="28.42578125" style="33" hidden="1" customWidth="1"/>
    <col min="7" max="7" width="20.42578125" style="33" hidden="1" customWidth="1"/>
    <col min="8" max="8" width="9.140625" style="33" hidden="1" customWidth="1"/>
    <col min="9" max="10" width="21.28515625" style="33" hidden="1" customWidth="1"/>
    <col min="11" max="11" width="22.5703125" style="33" hidden="1" customWidth="1"/>
    <col min="12" max="12" width="24.28515625" style="33" customWidth="1"/>
    <col min="13" max="13" width="22.28515625" style="33" hidden="1" customWidth="1"/>
    <col min="14" max="14" width="11.7109375" style="33" customWidth="1"/>
    <col min="15" max="15" width="25.42578125" style="33" customWidth="1"/>
    <col min="16" max="16" width="26" style="33" customWidth="1"/>
    <col min="17" max="17" width="18.85546875" style="33" hidden="1" customWidth="1"/>
    <col min="18" max="18" width="26" style="33" customWidth="1"/>
    <col min="19" max="19" width="8.5703125" style="33" customWidth="1"/>
    <col min="20" max="20" width="18.85546875" style="33" customWidth="1"/>
    <col min="21" max="21" width="9.28515625" style="33" customWidth="1"/>
    <col min="22" max="22" width="18.85546875" style="33" customWidth="1"/>
    <col min="23" max="23" width="34.140625" style="33" customWidth="1"/>
    <col min="24" max="24" width="18.85546875" style="33" customWidth="1"/>
    <col min="25" max="25" width="7.140625" style="33" customWidth="1"/>
    <col min="26" max="26" width="30.28515625" style="33" customWidth="1"/>
    <col min="27" max="27" width="7" style="33" customWidth="1"/>
    <col min="28" max="28" width="12.7109375" style="33" customWidth="1"/>
    <col min="29" max="29" width="20.140625" style="33" customWidth="1"/>
    <col min="30" max="30" width="19.42578125" style="33" customWidth="1"/>
    <col min="31" max="31" width="21.140625" style="33" customWidth="1"/>
    <col min="32" max="32" width="9.140625" style="33"/>
    <col min="33" max="33" width="29.140625" style="33" customWidth="1"/>
    <col min="34" max="16384" width="9.140625" style="33"/>
  </cols>
  <sheetData>
    <row r="1" spans="1:30" s="2" customFormat="1" ht="20.25" x14ac:dyDescent="0.3">
      <c r="A1" s="142" t="s">
        <v>12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Y1" s="3">
        <v>0.1</v>
      </c>
      <c r="Z1" s="4">
        <f>K12*Y1</f>
        <v>124000000</v>
      </c>
    </row>
    <row r="2" spans="1:30" s="2" customFormat="1" ht="20.25" x14ac:dyDescent="0.3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Y2" s="3"/>
      <c r="Z2" s="4"/>
    </row>
    <row r="3" spans="1:30" s="2" customFormat="1" ht="20.25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Y3" s="3"/>
      <c r="Z3" s="4"/>
    </row>
    <row r="4" spans="1:30" s="2" customFormat="1" ht="20.25" x14ac:dyDescent="0.3">
      <c r="A4" s="1" t="s">
        <v>84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Z4" s="5"/>
    </row>
    <row r="6" spans="1:30" s="9" customFormat="1" x14ac:dyDescent="0.25">
      <c r="A6" s="139" t="s">
        <v>1</v>
      </c>
      <c r="B6" s="139" t="s">
        <v>13</v>
      </c>
      <c r="C6" s="139" t="s">
        <v>14</v>
      </c>
      <c r="D6" s="6" t="s">
        <v>15</v>
      </c>
      <c r="E6" s="139" t="s">
        <v>21</v>
      </c>
      <c r="F6" s="7" t="s">
        <v>16</v>
      </c>
      <c r="G6" s="7" t="s">
        <v>17</v>
      </c>
      <c r="H6" s="7" t="s">
        <v>18</v>
      </c>
      <c r="I6" s="7" t="s">
        <v>19</v>
      </c>
      <c r="J6" s="7"/>
      <c r="K6" s="7" t="s">
        <v>15</v>
      </c>
      <c r="L6" s="144" t="s">
        <v>71</v>
      </c>
      <c r="M6" s="7" t="s">
        <v>20</v>
      </c>
      <c r="N6" s="144" t="s">
        <v>173</v>
      </c>
      <c r="O6" s="139" t="s">
        <v>50</v>
      </c>
      <c r="P6" s="139" t="s">
        <v>51</v>
      </c>
      <c r="Q6" s="36" t="s">
        <v>22</v>
      </c>
      <c r="R6" s="141" t="s">
        <v>72</v>
      </c>
      <c r="S6" s="141"/>
      <c r="T6" s="141"/>
      <c r="U6" s="141" t="s">
        <v>70</v>
      </c>
      <c r="V6" s="141"/>
      <c r="W6" s="141" t="s">
        <v>5</v>
      </c>
      <c r="X6" s="8"/>
      <c r="Y6" s="8"/>
      <c r="Z6" s="8"/>
      <c r="AC6" s="10" t="s">
        <v>23</v>
      </c>
      <c r="AD6" s="10" t="s">
        <v>24</v>
      </c>
    </row>
    <row r="7" spans="1:30" s="9" customFormat="1" x14ac:dyDescent="0.25">
      <c r="A7" s="140"/>
      <c r="B7" s="140"/>
      <c r="C7" s="140"/>
      <c r="D7" s="6"/>
      <c r="E7" s="140"/>
      <c r="F7" s="7"/>
      <c r="G7" s="7"/>
      <c r="H7" s="7"/>
      <c r="I7" s="7"/>
      <c r="J7" s="7"/>
      <c r="K7" s="7"/>
      <c r="L7" s="145"/>
      <c r="M7" s="7"/>
      <c r="N7" s="145"/>
      <c r="O7" s="140"/>
      <c r="P7" s="140"/>
      <c r="Q7" s="36"/>
      <c r="R7" s="7" t="s">
        <v>69</v>
      </c>
      <c r="S7" s="7" t="s">
        <v>8</v>
      </c>
      <c r="T7" s="7" t="s">
        <v>9</v>
      </c>
      <c r="U7" s="7" t="s">
        <v>8</v>
      </c>
      <c r="V7" s="7" t="s">
        <v>9</v>
      </c>
      <c r="W7" s="141"/>
      <c r="X7" s="8"/>
      <c r="Y7" s="8"/>
      <c r="Z7" s="8"/>
      <c r="AC7" s="10"/>
      <c r="AD7" s="10"/>
    </row>
    <row r="8" spans="1:30" s="9" customFormat="1" x14ac:dyDescent="0.25">
      <c r="A8" s="6" t="s">
        <v>68</v>
      </c>
      <c r="B8" s="49" t="s">
        <v>73</v>
      </c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6"/>
      <c r="P8" s="6"/>
      <c r="Q8" s="36"/>
      <c r="R8" s="7"/>
      <c r="S8" s="7"/>
      <c r="T8" s="7"/>
      <c r="U8" s="7"/>
      <c r="V8" s="7"/>
      <c r="W8" s="7"/>
      <c r="X8" s="8"/>
      <c r="Y8" s="8"/>
      <c r="Z8" s="8"/>
      <c r="AC8" s="10"/>
      <c r="AD8" s="10"/>
    </row>
    <row r="9" spans="1:30" s="19" customFormat="1" ht="66" x14ac:dyDescent="0.25">
      <c r="A9" s="11">
        <v>1</v>
      </c>
      <c r="B9" s="12" t="s">
        <v>25</v>
      </c>
      <c r="C9" s="13" t="s">
        <v>26</v>
      </c>
      <c r="D9" s="14">
        <v>900000000</v>
      </c>
      <c r="E9" s="13" t="s">
        <v>27</v>
      </c>
      <c r="F9" s="14">
        <v>825733000</v>
      </c>
      <c r="G9" s="14">
        <f>K9-F9</f>
        <v>74267000</v>
      </c>
      <c r="H9" s="15">
        <f t="shared" ref="H9:H16" si="0">(G9/K9)*100%</f>
        <v>8.2518888888888892E-2</v>
      </c>
      <c r="I9" s="16">
        <f t="shared" ref="I9:I16" si="1">F9*0.1</f>
        <v>82573300</v>
      </c>
      <c r="J9" s="14">
        <f>F9+I9</f>
        <v>908306300</v>
      </c>
      <c r="K9" s="14">
        <v>900000000</v>
      </c>
      <c r="L9" s="14">
        <f>K9</f>
        <v>900000000</v>
      </c>
      <c r="M9" s="14">
        <f>K9-L9</f>
        <v>0</v>
      </c>
      <c r="N9" s="89">
        <v>90</v>
      </c>
      <c r="O9" s="13" t="s">
        <v>52</v>
      </c>
      <c r="P9" s="13" t="s">
        <v>67</v>
      </c>
      <c r="Q9" s="37" t="s">
        <v>28</v>
      </c>
      <c r="R9" s="39">
        <f t="shared" ref="R9:R16" si="2">L9*S9</f>
        <v>225000000</v>
      </c>
      <c r="S9" s="38">
        <v>0.25</v>
      </c>
      <c r="T9" s="40">
        <f>R9/L$24*100</f>
        <v>2.6481022692859435</v>
      </c>
      <c r="U9" s="11">
        <v>21.77</v>
      </c>
      <c r="V9" s="40">
        <f>((U9/100*L9)/L$24*100)</f>
        <v>2.3059674560941996</v>
      </c>
      <c r="W9" s="17" t="s">
        <v>88</v>
      </c>
      <c r="X9" s="18"/>
      <c r="Y9" s="18"/>
      <c r="Z9" s="18"/>
      <c r="AB9" s="20">
        <f t="shared" ref="AB9:AB16" si="3">(G9/F9)*100%</f>
        <v>8.9940695115733535E-2</v>
      </c>
      <c r="AC9" s="21">
        <f t="shared" ref="AC9:AC15" si="4">(100/110)*F9</f>
        <v>750666363.63636363</v>
      </c>
      <c r="AD9" s="21">
        <f>(10/100)*AC9</f>
        <v>75066636.36363636</v>
      </c>
    </row>
    <row r="10" spans="1:30" s="19" customFormat="1" ht="49.5" x14ac:dyDescent="0.25">
      <c r="A10" s="11">
        <v>2</v>
      </c>
      <c r="B10" s="12" t="s">
        <v>29</v>
      </c>
      <c r="C10" s="13" t="s">
        <v>30</v>
      </c>
      <c r="D10" s="14">
        <v>1500000000</v>
      </c>
      <c r="E10" s="13" t="s">
        <v>31</v>
      </c>
      <c r="F10" s="14">
        <v>1379965000</v>
      </c>
      <c r="G10" s="14">
        <f t="shared" ref="G10:G16" si="5">K10-F10</f>
        <v>120035000</v>
      </c>
      <c r="H10" s="15">
        <f t="shared" si="0"/>
        <v>8.0023333333333335E-2</v>
      </c>
      <c r="I10" s="16">
        <f t="shared" si="1"/>
        <v>137996500</v>
      </c>
      <c r="J10" s="14">
        <f t="shared" ref="J10:J16" si="6">F10+I10</f>
        <v>1517961500</v>
      </c>
      <c r="K10" s="14">
        <v>1500000000</v>
      </c>
      <c r="L10" s="14">
        <f>K10</f>
        <v>1500000000</v>
      </c>
      <c r="M10" s="14">
        <f t="shared" ref="M10:M14" si="7">K10-L10</f>
        <v>0</v>
      </c>
      <c r="N10" s="89">
        <v>150</v>
      </c>
      <c r="O10" s="13" t="s">
        <v>53</v>
      </c>
      <c r="P10" s="13" t="s">
        <v>60</v>
      </c>
      <c r="Q10" s="37" t="s">
        <v>32</v>
      </c>
      <c r="R10" s="39">
        <f t="shared" si="2"/>
        <v>375000000</v>
      </c>
      <c r="S10" s="38">
        <f t="shared" ref="S10:S16" si="8">S9</f>
        <v>0.25</v>
      </c>
      <c r="T10" s="40">
        <f t="shared" ref="T10:T16" si="9">R10/L$24*100</f>
        <v>4.4135037821432386</v>
      </c>
      <c r="U10" s="11">
        <v>22.01</v>
      </c>
      <c r="V10" s="40">
        <f t="shared" ref="V10:V16" si="10">((U10/100*L10)/L$24*100)</f>
        <v>3.8856487297989082</v>
      </c>
      <c r="W10" s="17"/>
      <c r="X10" s="18"/>
      <c r="Y10" s="18"/>
      <c r="Z10" s="18" t="s">
        <v>33</v>
      </c>
      <c r="AB10" s="20">
        <f t="shared" si="3"/>
        <v>8.6984090176200124E-2</v>
      </c>
      <c r="AC10" s="21">
        <f t="shared" si="4"/>
        <v>1254513636.3636363</v>
      </c>
      <c r="AD10" s="21">
        <f t="shared" ref="AD10:AD13" si="11">(10/100)*AC10</f>
        <v>125451363.63636363</v>
      </c>
    </row>
    <row r="11" spans="1:30" s="19" customFormat="1" ht="66" x14ac:dyDescent="0.25">
      <c r="A11" s="11">
        <v>3</v>
      </c>
      <c r="B11" s="12" t="s">
        <v>34</v>
      </c>
      <c r="C11" s="13" t="s">
        <v>35</v>
      </c>
      <c r="D11" s="14">
        <v>1050000000</v>
      </c>
      <c r="E11" s="13" t="s">
        <v>36</v>
      </c>
      <c r="F11" s="14">
        <v>1008608000</v>
      </c>
      <c r="G11" s="14">
        <f t="shared" si="5"/>
        <v>41392000</v>
      </c>
      <c r="H11" s="15">
        <f t="shared" si="0"/>
        <v>3.9420952380952383E-2</v>
      </c>
      <c r="I11" s="16">
        <f t="shared" si="1"/>
        <v>100860800</v>
      </c>
      <c r="J11" s="14">
        <f t="shared" si="6"/>
        <v>1109468800</v>
      </c>
      <c r="K11" s="14">
        <v>1050000000</v>
      </c>
      <c r="L11" s="14">
        <f>K11</f>
        <v>1050000000</v>
      </c>
      <c r="M11" s="14">
        <f t="shared" si="7"/>
        <v>0</v>
      </c>
      <c r="N11" s="89">
        <v>105</v>
      </c>
      <c r="O11" s="13" t="s">
        <v>54</v>
      </c>
      <c r="P11" s="13" t="s">
        <v>61</v>
      </c>
      <c r="Q11" s="37" t="s">
        <v>32</v>
      </c>
      <c r="R11" s="39">
        <f t="shared" si="2"/>
        <v>262500000</v>
      </c>
      <c r="S11" s="38">
        <f t="shared" si="8"/>
        <v>0.25</v>
      </c>
      <c r="T11" s="40">
        <f t="shared" si="9"/>
        <v>3.0894526475002673</v>
      </c>
      <c r="U11" s="11">
        <v>9.5500000000000007</v>
      </c>
      <c r="V11" s="40">
        <f t="shared" si="10"/>
        <v>1.1801709113451022</v>
      </c>
      <c r="W11" s="17" t="s">
        <v>89</v>
      </c>
      <c r="X11" s="18"/>
      <c r="Y11" s="18"/>
      <c r="Z11" s="18"/>
      <c r="AB11" s="20">
        <f t="shared" si="3"/>
        <v>4.103873853865922E-2</v>
      </c>
      <c r="AC11" s="21">
        <f t="shared" si="4"/>
        <v>916916363.63636363</v>
      </c>
      <c r="AD11" s="21">
        <f t="shared" si="11"/>
        <v>91691636.363636374</v>
      </c>
    </row>
    <row r="12" spans="1:30" s="29" customFormat="1" ht="66" x14ac:dyDescent="0.25">
      <c r="A12" s="22">
        <v>4</v>
      </c>
      <c r="B12" s="23" t="s">
        <v>37</v>
      </c>
      <c r="C12" s="13" t="s">
        <v>38</v>
      </c>
      <c r="D12" s="24">
        <v>1240000000</v>
      </c>
      <c r="E12" s="26" t="s">
        <v>39</v>
      </c>
      <c r="F12" s="24">
        <v>1091189000</v>
      </c>
      <c r="G12" s="14">
        <f t="shared" si="5"/>
        <v>148811000</v>
      </c>
      <c r="H12" s="25">
        <f t="shared" si="0"/>
        <v>0.12000887096774193</v>
      </c>
      <c r="I12" s="16">
        <f t="shared" si="1"/>
        <v>109118900</v>
      </c>
      <c r="J12" s="14">
        <f t="shared" si="6"/>
        <v>1200307900</v>
      </c>
      <c r="K12" s="24">
        <v>1240000000</v>
      </c>
      <c r="L12" s="24">
        <f>F12+I12</f>
        <v>1200307900</v>
      </c>
      <c r="M12" s="14">
        <f>K12-L12</f>
        <v>39692100</v>
      </c>
      <c r="N12" s="89">
        <v>144</v>
      </c>
      <c r="O12" s="13" t="s">
        <v>55</v>
      </c>
      <c r="P12" s="13" t="s">
        <v>66</v>
      </c>
      <c r="Q12" s="37" t="s">
        <v>32</v>
      </c>
      <c r="R12" s="39">
        <f t="shared" si="2"/>
        <v>300076975</v>
      </c>
      <c r="S12" s="38">
        <f t="shared" si="8"/>
        <v>0.25</v>
      </c>
      <c r="T12" s="40">
        <f t="shared" si="9"/>
        <v>3.5317089709242722</v>
      </c>
      <c r="U12" s="11">
        <v>2.17</v>
      </c>
      <c r="V12" s="40">
        <f t="shared" si="10"/>
        <v>0.30655233867622689</v>
      </c>
      <c r="W12" s="17" t="s">
        <v>90</v>
      </c>
      <c r="X12" s="18"/>
      <c r="Y12" s="27">
        <f>H12-Y1</f>
        <v>2.0008870967741926E-2</v>
      </c>
      <c r="Z12" s="28">
        <f>Y12*K12</f>
        <v>24810999.999999989</v>
      </c>
      <c r="AB12" s="20">
        <f t="shared" si="3"/>
        <v>0.13637509175770651</v>
      </c>
      <c r="AC12" s="30">
        <f t="shared" si="4"/>
        <v>991990000</v>
      </c>
      <c r="AD12" s="30">
        <f t="shared" si="11"/>
        <v>99199000</v>
      </c>
    </row>
    <row r="13" spans="1:30" s="19" customFormat="1" ht="49.5" x14ac:dyDescent="0.25">
      <c r="A13" s="11">
        <v>5</v>
      </c>
      <c r="B13" s="12" t="s">
        <v>40</v>
      </c>
      <c r="C13" s="13" t="s">
        <v>41</v>
      </c>
      <c r="D13" s="14">
        <v>477092600</v>
      </c>
      <c r="E13" s="13" t="s">
        <v>36</v>
      </c>
      <c r="F13" s="14">
        <v>438424000</v>
      </c>
      <c r="G13" s="14">
        <f t="shared" si="5"/>
        <v>38668600</v>
      </c>
      <c r="H13" s="15">
        <f t="shared" si="0"/>
        <v>8.1050513045056657E-2</v>
      </c>
      <c r="I13" s="16">
        <f t="shared" si="1"/>
        <v>43842400</v>
      </c>
      <c r="J13" s="14">
        <f t="shared" si="6"/>
        <v>482266400</v>
      </c>
      <c r="K13" s="14">
        <v>477092600</v>
      </c>
      <c r="L13" s="14">
        <f>K13-M13</f>
        <v>477092500</v>
      </c>
      <c r="M13" s="14">
        <v>100</v>
      </c>
      <c r="N13" s="89">
        <v>92</v>
      </c>
      <c r="O13" s="13" t="s">
        <v>56</v>
      </c>
      <c r="P13" s="13" t="s">
        <v>65</v>
      </c>
      <c r="Q13" s="37" t="s">
        <v>32</v>
      </c>
      <c r="R13" s="39">
        <f t="shared" si="2"/>
        <v>119273125</v>
      </c>
      <c r="S13" s="38">
        <f t="shared" si="8"/>
        <v>0.25</v>
      </c>
      <c r="T13" s="40">
        <f t="shared" si="9"/>
        <v>1.4037663687881154</v>
      </c>
      <c r="U13" s="11">
        <v>17.420000000000002</v>
      </c>
      <c r="V13" s="40">
        <f t="shared" si="10"/>
        <v>0.97814440577155914</v>
      </c>
      <c r="W13" s="17" t="s">
        <v>86</v>
      </c>
      <c r="X13" s="18"/>
      <c r="Y13" s="18"/>
      <c r="Z13" s="18"/>
      <c r="AB13" s="20">
        <f t="shared" si="3"/>
        <v>8.8199094940058023E-2</v>
      </c>
      <c r="AC13" s="21">
        <f t="shared" si="4"/>
        <v>398567272.72727269</v>
      </c>
      <c r="AD13" s="21">
        <f t="shared" si="11"/>
        <v>39856727.272727273</v>
      </c>
    </row>
    <row r="14" spans="1:30" s="19" customFormat="1" ht="49.5" x14ac:dyDescent="0.25">
      <c r="A14" s="11">
        <v>6</v>
      </c>
      <c r="B14" s="12" t="s">
        <v>42</v>
      </c>
      <c r="C14" s="13" t="s">
        <v>43</v>
      </c>
      <c r="D14" s="14">
        <v>1250000000</v>
      </c>
      <c r="E14" s="13" t="s">
        <v>44</v>
      </c>
      <c r="F14" s="14">
        <v>1161322000</v>
      </c>
      <c r="G14" s="14">
        <f t="shared" si="5"/>
        <v>88678000</v>
      </c>
      <c r="H14" s="15">
        <f t="shared" si="0"/>
        <v>7.0942400000000003E-2</v>
      </c>
      <c r="I14" s="16">
        <f t="shared" si="1"/>
        <v>116132200</v>
      </c>
      <c r="J14" s="14">
        <f>F14+I14</f>
        <v>1277454200</v>
      </c>
      <c r="K14" s="14">
        <v>1250000000</v>
      </c>
      <c r="L14" s="14">
        <f>K14</f>
        <v>1250000000</v>
      </c>
      <c r="M14" s="14">
        <f t="shared" si="7"/>
        <v>0</v>
      </c>
      <c r="N14" s="89">
        <v>125</v>
      </c>
      <c r="O14" s="13" t="s">
        <v>57</v>
      </c>
      <c r="P14" s="13" t="s">
        <v>64</v>
      </c>
      <c r="Q14" s="37" t="s">
        <v>32</v>
      </c>
      <c r="R14" s="39">
        <f t="shared" si="2"/>
        <v>312500000</v>
      </c>
      <c r="S14" s="38">
        <f t="shared" si="8"/>
        <v>0.25</v>
      </c>
      <c r="T14" s="40">
        <f t="shared" si="9"/>
        <v>3.6779198184526991</v>
      </c>
      <c r="U14" s="11">
        <v>0.61</v>
      </c>
      <c r="V14" s="40">
        <f t="shared" si="10"/>
        <v>8.9741243570245849E-2</v>
      </c>
      <c r="W14" s="17" t="s">
        <v>85</v>
      </c>
      <c r="X14" s="18"/>
      <c r="Y14" s="18"/>
      <c r="Z14" s="18" t="s">
        <v>33</v>
      </c>
      <c r="AB14" s="20">
        <f t="shared" si="3"/>
        <v>7.6359528192869855E-2</v>
      </c>
      <c r="AC14" s="21">
        <f t="shared" si="4"/>
        <v>1055747272.7272727</v>
      </c>
      <c r="AD14" s="21">
        <f>(10/100)*AC14</f>
        <v>105574727.27272728</v>
      </c>
    </row>
    <row r="15" spans="1:30" ht="66" x14ac:dyDescent="0.3">
      <c r="A15" s="31">
        <v>7</v>
      </c>
      <c r="B15" s="32" t="s">
        <v>45</v>
      </c>
      <c r="C15" s="13" t="s">
        <v>46</v>
      </c>
      <c r="D15" s="14">
        <v>1000000000</v>
      </c>
      <c r="E15" s="26" t="s">
        <v>39</v>
      </c>
      <c r="F15" s="14">
        <v>907767000</v>
      </c>
      <c r="G15" s="14">
        <f t="shared" si="5"/>
        <v>92233000</v>
      </c>
      <c r="H15" s="15">
        <f t="shared" si="0"/>
        <v>9.2232999999999996E-2</v>
      </c>
      <c r="I15" s="16">
        <f t="shared" si="1"/>
        <v>90776700</v>
      </c>
      <c r="J15" s="14">
        <f t="shared" si="6"/>
        <v>998543700</v>
      </c>
      <c r="K15" s="14">
        <v>1000000000</v>
      </c>
      <c r="L15" s="14">
        <f>F15+I15</f>
        <v>998543700</v>
      </c>
      <c r="M15" s="14">
        <f>K15-L15</f>
        <v>1456300</v>
      </c>
      <c r="N15" s="89">
        <v>100</v>
      </c>
      <c r="O15" s="13" t="s">
        <v>58</v>
      </c>
      <c r="P15" s="13" t="s">
        <v>63</v>
      </c>
      <c r="Q15" s="37" t="s">
        <v>32</v>
      </c>
      <c r="R15" s="39">
        <f t="shared" si="2"/>
        <v>249635925</v>
      </c>
      <c r="S15" s="38">
        <f t="shared" si="8"/>
        <v>0.25</v>
      </c>
      <c r="T15" s="40">
        <f>R15/L$24*100</f>
        <v>2.938050931056869</v>
      </c>
      <c r="U15" s="40">
        <v>0</v>
      </c>
      <c r="V15" s="40">
        <f t="shared" si="10"/>
        <v>0</v>
      </c>
      <c r="W15" s="17" t="s">
        <v>87</v>
      </c>
      <c r="X15" s="18"/>
      <c r="Y15" s="27">
        <f>H15-Y1</f>
        <v>-7.76700000000001E-3</v>
      </c>
      <c r="Z15" s="27"/>
      <c r="AB15" s="20">
        <f t="shared" si="3"/>
        <v>0.1016042662930025</v>
      </c>
      <c r="AC15" s="21">
        <f t="shared" si="4"/>
        <v>825242727.27272725</v>
      </c>
      <c r="AD15" s="21">
        <f>(10/100)*AC15</f>
        <v>82524272.727272734</v>
      </c>
    </row>
    <row r="16" spans="1:30" ht="66" x14ac:dyDescent="0.3">
      <c r="A16" s="31">
        <v>8</v>
      </c>
      <c r="B16" s="32" t="s">
        <v>47</v>
      </c>
      <c r="C16" s="13" t="s">
        <v>48</v>
      </c>
      <c r="D16" s="34"/>
      <c r="E16" s="13" t="s">
        <v>49</v>
      </c>
      <c r="F16" s="14">
        <v>837006000</v>
      </c>
      <c r="G16" s="14">
        <f t="shared" si="5"/>
        <v>100494000</v>
      </c>
      <c r="H16" s="25">
        <f t="shared" si="0"/>
        <v>0.1071936</v>
      </c>
      <c r="I16" s="16">
        <f t="shared" si="1"/>
        <v>83700600</v>
      </c>
      <c r="J16" s="14">
        <f t="shared" si="6"/>
        <v>920706600</v>
      </c>
      <c r="K16" s="14">
        <v>937500000</v>
      </c>
      <c r="L16" s="14">
        <f>F16+I16</f>
        <v>920706600</v>
      </c>
      <c r="M16" s="14">
        <f>K16-L16</f>
        <v>16793400</v>
      </c>
      <c r="N16" s="89">
        <v>94</v>
      </c>
      <c r="O16" s="13" t="s">
        <v>59</v>
      </c>
      <c r="P16" s="13" t="s">
        <v>62</v>
      </c>
      <c r="Q16" s="37" t="s">
        <v>32</v>
      </c>
      <c r="R16" s="39">
        <f t="shared" si="2"/>
        <v>230176650</v>
      </c>
      <c r="S16" s="38">
        <f t="shared" si="8"/>
        <v>0.25</v>
      </c>
      <c r="T16" s="40">
        <f t="shared" si="9"/>
        <v>2.7090280408961616</v>
      </c>
      <c r="U16" s="11">
        <v>0.81</v>
      </c>
      <c r="V16" s="40">
        <f t="shared" si="10"/>
        <v>8.7772508525035653E-2</v>
      </c>
      <c r="W16" s="17"/>
      <c r="X16" s="18"/>
      <c r="Y16" s="27">
        <f>H16-Y1</f>
        <v>7.1935999999999944E-3</v>
      </c>
      <c r="Z16" s="28">
        <f>Y16*K16</f>
        <v>6743999.9999999944</v>
      </c>
      <c r="AB16" s="20">
        <f t="shared" si="3"/>
        <v>0.12006365545766697</v>
      </c>
    </row>
    <row r="17" spans="1:30" s="47" customFormat="1" ht="23.25" customHeight="1" x14ac:dyDescent="0.25">
      <c r="A17" s="41" t="s">
        <v>91</v>
      </c>
      <c r="B17" s="42"/>
      <c r="C17" s="42"/>
      <c r="D17" s="42"/>
      <c r="E17" s="43"/>
      <c r="F17" s="42"/>
      <c r="G17" s="42"/>
      <c r="H17" s="44"/>
      <c r="I17" s="43"/>
      <c r="J17" s="43"/>
      <c r="K17" s="45">
        <f>SUM(K9:K16)</f>
        <v>8354592600</v>
      </c>
      <c r="L17" s="46">
        <f>SUM(L9:L16)</f>
        <v>8296650700</v>
      </c>
      <c r="M17" s="45">
        <f>SUM(M9:M16)</f>
        <v>57941900</v>
      </c>
      <c r="N17" s="92">
        <f>SUM(N9:N16)</f>
        <v>900</v>
      </c>
      <c r="O17" s="43"/>
      <c r="P17" s="43"/>
      <c r="R17" s="46">
        <f>SUM(R9:R16)</f>
        <v>2074162675</v>
      </c>
      <c r="S17" s="43"/>
      <c r="T17" s="48">
        <f>SUM(T9:T16)</f>
        <v>24.411532829047566</v>
      </c>
      <c r="U17" s="43"/>
      <c r="V17" s="43"/>
      <c r="W17" s="43"/>
    </row>
    <row r="18" spans="1:30" s="9" customFormat="1" x14ac:dyDescent="0.25">
      <c r="A18" s="6" t="s">
        <v>74</v>
      </c>
      <c r="B18" s="49" t="s">
        <v>76</v>
      </c>
      <c r="C18" s="6"/>
      <c r="D18" s="6"/>
      <c r="E18" s="6"/>
      <c r="F18" s="7"/>
      <c r="G18" s="7"/>
      <c r="H18" s="7"/>
      <c r="I18" s="7"/>
      <c r="J18" s="7"/>
      <c r="K18" s="7"/>
      <c r="L18" s="7"/>
      <c r="M18" s="7"/>
      <c r="N18" s="7"/>
      <c r="O18" s="6"/>
      <c r="P18" s="6"/>
      <c r="Q18" s="36"/>
      <c r="R18" s="7"/>
      <c r="S18" s="7"/>
      <c r="T18" s="7"/>
      <c r="U18" s="7"/>
      <c r="V18" s="7"/>
      <c r="W18" s="7"/>
      <c r="X18" s="8"/>
      <c r="Y18" s="8"/>
      <c r="Z18" s="8"/>
      <c r="AC18" s="10"/>
      <c r="AD18" s="10"/>
    </row>
    <row r="19" spans="1:30" s="19" customFormat="1" ht="33" x14ac:dyDescent="0.25">
      <c r="A19" s="11">
        <v>1</v>
      </c>
      <c r="B19" s="12" t="s">
        <v>75</v>
      </c>
      <c r="C19" s="13" t="s">
        <v>80</v>
      </c>
      <c r="D19" s="14">
        <v>900000000</v>
      </c>
      <c r="E19" s="13" t="s">
        <v>94</v>
      </c>
      <c r="F19" s="14">
        <v>825733000</v>
      </c>
      <c r="G19" s="14">
        <f>K19-F19</f>
        <v>74267000</v>
      </c>
      <c r="H19" s="15">
        <f t="shared" ref="H19:H22" si="12">(G19/K19)*100%</f>
        <v>8.2518888888888892E-2</v>
      </c>
      <c r="I19" s="16">
        <f t="shared" ref="I19:I22" si="13">F19*0.1</f>
        <v>82573300</v>
      </c>
      <c r="J19" s="14">
        <f>F19+I19</f>
        <v>908306300</v>
      </c>
      <c r="K19" s="14">
        <v>900000000</v>
      </c>
      <c r="L19" s="14">
        <v>50000000</v>
      </c>
      <c r="M19" s="14">
        <f>K19-L19</f>
        <v>850000000</v>
      </c>
      <c r="N19" s="90"/>
      <c r="O19" s="13" t="s">
        <v>100</v>
      </c>
      <c r="P19" s="50"/>
      <c r="Q19" s="37" t="s">
        <v>28</v>
      </c>
      <c r="R19" s="39">
        <v>0</v>
      </c>
      <c r="S19" s="38">
        <v>0</v>
      </c>
      <c r="T19" s="40">
        <f t="shared" ref="T19:T22" si="14">R19/L$24*100</f>
        <v>0</v>
      </c>
      <c r="U19" s="11">
        <v>0</v>
      </c>
      <c r="V19" s="40">
        <f t="shared" ref="V19:V22" si="15">((U19/100*L19)/L$24*100)</f>
        <v>0</v>
      </c>
      <c r="W19" s="17" t="s">
        <v>97</v>
      </c>
      <c r="X19" s="18"/>
      <c r="Y19" s="18"/>
      <c r="Z19" s="18"/>
      <c r="AB19" s="20">
        <f>(G19/F19)*100%</f>
        <v>8.9940695115733535E-2</v>
      </c>
      <c r="AC19" s="21">
        <f>(100/110)*F19</f>
        <v>750666363.63636363</v>
      </c>
      <c r="AD19" s="21">
        <f>(10/100)*AC19</f>
        <v>75066636.36363636</v>
      </c>
    </row>
    <row r="20" spans="1:30" s="19" customFormat="1" ht="49.5" x14ac:dyDescent="0.25">
      <c r="A20" s="11">
        <v>2</v>
      </c>
      <c r="B20" s="12" t="s">
        <v>77</v>
      </c>
      <c r="C20" s="13" t="s">
        <v>81</v>
      </c>
      <c r="D20" s="14">
        <v>1500000000</v>
      </c>
      <c r="E20" s="13" t="s">
        <v>95</v>
      </c>
      <c r="F20" s="14">
        <v>1379965000</v>
      </c>
      <c r="G20" s="14">
        <f t="shared" ref="G20:G22" si="16">K20-F20</f>
        <v>120035000</v>
      </c>
      <c r="H20" s="15">
        <f t="shared" si="12"/>
        <v>8.0023333333333335E-2</v>
      </c>
      <c r="I20" s="16">
        <f t="shared" si="13"/>
        <v>137996500</v>
      </c>
      <c r="J20" s="14">
        <f t="shared" ref="J20:J22" si="17">F20+I20</f>
        <v>1517961500</v>
      </c>
      <c r="K20" s="14">
        <v>1500000000</v>
      </c>
      <c r="L20" s="14">
        <f>L19</f>
        <v>50000000</v>
      </c>
      <c r="M20" s="14">
        <f t="shared" ref="M20:M21" si="18">K20-L20</f>
        <v>1450000000</v>
      </c>
      <c r="N20" s="90"/>
      <c r="O20" s="13" t="s">
        <v>101</v>
      </c>
      <c r="P20" s="50"/>
      <c r="Q20" s="37" t="s">
        <v>32</v>
      </c>
      <c r="R20" s="39">
        <v>0</v>
      </c>
      <c r="S20" s="38">
        <v>0</v>
      </c>
      <c r="T20" s="40">
        <f t="shared" si="14"/>
        <v>0</v>
      </c>
      <c r="U20" s="11">
        <v>0</v>
      </c>
      <c r="V20" s="40">
        <f t="shared" si="15"/>
        <v>0</v>
      </c>
      <c r="W20" s="17" t="s">
        <v>98</v>
      </c>
      <c r="X20" s="18"/>
      <c r="Y20" s="18"/>
      <c r="Z20" s="18" t="s">
        <v>33</v>
      </c>
      <c r="AB20" s="20">
        <f>(G20/F20)*100%</f>
        <v>8.6984090176200124E-2</v>
      </c>
      <c r="AC20" s="21">
        <f>(100/110)*F20</f>
        <v>1254513636.3636363</v>
      </c>
      <c r="AD20" s="21">
        <f t="shared" ref="AD20:AD22" si="19">(10/100)*AC20</f>
        <v>125451363.63636363</v>
      </c>
    </row>
    <row r="21" spans="1:30" s="19" customFormat="1" ht="33" x14ac:dyDescent="0.25">
      <c r="A21" s="11">
        <v>3</v>
      </c>
      <c r="B21" s="12" t="s">
        <v>78</v>
      </c>
      <c r="C21" s="13" t="s">
        <v>82</v>
      </c>
      <c r="D21" s="14">
        <v>1050000000</v>
      </c>
      <c r="E21" s="13" t="s">
        <v>95</v>
      </c>
      <c r="F21" s="14">
        <v>1008608000</v>
      </c>
      <c r="G21" s="14">
        <f t="shared" si="16"/>
        <v>41392000</v>
      </c>
      <c r="H21" s="15">
        <f t="shared" si="12"/>
        <v>3.9420952380952383E-2</v>
      </c>
      <c r="I21" s="16">
        <f t="shared" si="13"/>
        <v>100860800</v>
      </c>
      <c r="J21" s="14">
        <f t="shared" si="17"/>
        <v>1109468800</v>
      </c>
      <c r="K21" s="14">
        <v>1050000000</v>
      </c>
      <c r="L21" s="14">
        <f>L20</f>
        <v>50000000</v>
      </c>
      <c r="M21" s="14">
        <f t="shared" si="18"/>
        <v>1000000000</v>
      </c>
      <c r="N21" s="90"/>
      <c r="O21" s="13" t="s">
        <v>102</v>
      </c>
      <c r="P21" s="50"/>
      <c r="Q21" s="37" t="s">
        <v>32</v>
      </c>
      <c r="R21" s="39">
        <v>0</v>
      </c>
      <c r="S21" s="38">
        <v>0</v>
      </c>
      <c r="T21" s="40">
        <f t="shared" si="14"/>
        <v>0</v>
      </c>
      <c r="U21" s="11">
        <v>0</v>
      </c>
      <c r="V21" s="40">
        <f>((U21/100*L21)/L$24*W24100)</f>
        <v>0</v>
      </c>
      <c r="W21" s="17" t="s">
        <v>98</v>
      </c>
      <c r="X21" s="18"/>
      <c r="Y21" s="18"/>
      <c r="Z21" s="18"/>
      <c r="AB21" s="20">
        <f>(G21/F21)*100%</f>
        <v>4.103873853865922E-2</v>
      </c>
      <c r="AC21" s="21">
        <f>(100/110)*F21</f>
        <v>916916363.63636363</v>
      </c>
      <c r="AD21" s="21">
        <f t="shared" si="19"/>
        <v>91691636.363636374</v>
      </c>
    </row>
    <row r="22" spans="1:30" s="29" customFormat="1" ht="33" x14ac:dyDescent="0.25">
      <c r="A22" s="22">
        <v>4</v>
      </c>
      <c r="B22" s="23" t="s">
        <v>79</v>
      </c>
      <c r="C22" s="13" t="s">
        <v>83</v>
      </c>
      <c r="D22" s="24">
        <v>1240000000</v>
      </c>
      <c r="E22" s="26" t="s">
        <v>96</v>
      </c>
      <c r="F22" s="24">
        <v>1091189000</v>
      </c>
      <c r="G22" s="14">
        <f t="shared" si="16"/>
        <v>148811000</v>
      </c>
      <c r="H22" s="25">
        <f t="shared" si="12"/>
        <v>0.12000887096774193</v>
      </c>
      <c r="I22" s="16">
        <f t="shared" si="13"/>
        <v>109118900</v>
      </c>
      <c r="J22" s="14">
        <f t="shared" si="17"/>
        <v>1200307900</v>
      </c>
      <c r="K22" s="24">
        <v>1240000000</v>
      </c>
      <c r="L22" s="24">
        <f>L21</f>
        <v>50000000</v>
      </c>
      <c r="M22" s="14">
        <f>K22-L22</f>
        <v>1190000000</v>
      </c>
      <c r="N22" s="90"/>
      <c r="O22" s="13" t="s">
        <v>103</v>
      </c>
      <c r="P22" s="50"/>
      <c r="Q22" s="37" t="s">
        <v>32</v>
      </c>
      <c r="R22" s="39">
        <v>0</v>
      </c>
      <c r="S22" s="38">
        <v>0</v>
      </c>
      <c r="T22" s="40">
        <f t="shared" si="14"/>
        <v>0</v>
      </c>
      <c r="U22" s="11">
        <v>0</v>
      </c>
      <c r="V22" s="40">
        <f t="shared" si="15"/>
        <v>0</v>
      </c>
      <c r="W22" s="17" t="s">
        <v>99</v>
      </c>
      <c r="X22" s="18"/>
      <c r="Y22" s="27">
        <f>H22-Y11</f>
        <v>0.12000887096774193</v>
      </c>
      <c r="Z22" s="28">
        <f>Y22*K22</f>
        <v>148811000</v>
      </c>
      <c r="AB22" s="20">
        <f>(G22/F22)*100%</f>
        <v>0.13637509175770651</v>
      </c>
      <c r="AC22" s="30">
        <f>(100/110)*F22</f>
        <v>991990000</v>
      </c>
      <c r="AD22" s="30">
        <f t="shared" si="19"/>
        <v>99199000</v>
      </c>
    </row>
    <row r="23" spans="1:30" s="47" customFormat="1" ht="23.25" customHeight="1" x14ac:dyDescent="0.25">
      <c r="A23" s="41" t="s">
        <v>92</v>
      </c>
      <c r="B23" s="42"/>
      <c r="C23" s="42"/>
      <c r="D23" s="42"/>
      <c r="E23" s="43"/>
      <c r="F23" s="42"/>
      <c r="G23" s="42"/>
      <c r="H23" s="44"/>
      <c r="I23" s="43"/>
      <c r="J23" s="43"/>
      <c r="K23" s="45">
        <f>SUM(K15:K22)</f>
        <v>14982092600</v>
      </c>
      <c r="L23" s="46">
        <f>SUM(L19:L22)</f>
        <v>200000000</v>
      </c>
      <c r="M23" s="45">
        <f>SUM(M15:M22)</f>
        <v>4566191600</v>
      </c>
      <c r="N23" s="91"/>
      <c r="O23" s="43"/>
      <c r="P23" s="43"/>
      <c r="R23" s="46">
        <f>SUM(R19:R22)</f>
        <v>0</v>
      </c>
      <c r="S23" s="43"/>
      <c r="T23" s="48">
        <f>SUM(T19:T22)</f>
        <v>0</v>
      </c>
      <c r="U23" s="43"/>
      <c r="V23" s="43"/>
      <c r="W23" s="43"/>
    </row>
    <row r="24" spans="1:30" s="47" customFormat="1" ht="23.25" customHeight="1" x14ac:dyDescent="0.25">
      <c r="A24" s="41"/>
      <c r="B24" s="52" t="s">
        <v>93</v>
      </c>
      <c r="C24" s="52"/>
      <c r="D24" s="52"/>
      <c r="E24" s="52"/>
      <c r="F24" s="52"/>
      <c r="G24" s="52"/>
      <c r="H24" s="52"/>
      <c r="I24" s="52"/>
      <c r="J24" s="52"/>
      <c r="K24" s="52"/>
      <c r="L24" s="45">
        <f>L17+L23</f>
        <v>8496650700</v>
      </c>
      <c r="M24" s="52"/>
      <c r="N24" s="52"/>
      <c r="O24" s="52"/>
      <c r="P24" s="53"/>
      <c r="R24" s="51">
        <f>R17+R23</f>
        <v>2074162675</v>
      </c>
      <c r="S24" s="43"/>
      <c r="T24" s="48">
        <f>T17+T23</f>
        <v>24.411532829047566</v>
      </c>
      <c r="U24" s="43"/>
      <c r="V24" s="43"/>
      <c r="W24" s="43"/>
    </row>
  </sheetData>
  <mergeCells count="14">
    <mergeCell ref="P6:P7"/>
    <mergeCell ref="W6:W7"/>
    <mergeCell ref="A1:W1"/>
    <mergeCell ref="A2:W2"/>
    <mergeCell ref="A3:W3"/>
    <mergeCell ref="A6:A7"/>
    <mergeCell ref="B6:B7"/>
    <mergeCell ref="C6:C7"/>
    <mergeCell ref="E6:E7"/>
    <mergeCell ref="L6:L7"/>
    <mergeCell ref="O6:O7"/>
    <mergeCell ref="R6:T6"/>
    <mergeCell ref="U6:V6"/>
    <mergeCell ref="N6:N7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56" orientation="landscape" horizontalDpi="4294967293" verticalDpi="360" r:id="rId1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9"/>
  <sheetViews>
    <sheetView view="pageBreakPreview" zoomScale="55" zoomScaleNormal="55" zoomScaleSheetLayoutView="55" workbookViewId="0">
      <selection activeCell="I30" sqref="I30"/>
    </sheetView>
  </sheetViews>
  <sheetFormatPr defaultRowHeight="15.75" x14ac:dyDescent="0.25"/>
  <cols>
    <col min="1" max="1" width="9.140625" style="54"/>
    <col min="2" max="2" width="9.42578125" style="74" customWidth="1"/>
    <col min="3" max="3" width="60.28515625" style="54" customWidth="1"/>
    <col min="4" max="4" width="24" style="54" hidden="1" customWidth="1"/>
    <col min="5" max="5" width="6.7109375" style="54" customWidth="1"/>
    <col min="6" max="6" width="11.140625" style="54" customWidth="1"/>
    <col min="7" max="7" width="13.28515625" style="54" hidden="1" customWidth="1"/>
    <col min="8" max="8" width="42.140625" style="54" customWidth="1"/>
    <col min="9" max="9" width="35.140625" style="54" customWidth="1"/>
    <col min="10" max="10" width="30.5703125" style="54" customWidth="1"/>
    <col min="11" max="11" width="30.5703125" style="54" hidden="1" customWidth="1"/>
    <col min="12" max="12" width="20.42578125" style="54" customWidth="1"/>
    <col min="13" max="13" width="13.28515625" style="54" customWidth="1"/>
    <col min="14" max="14" width="12.140625" style="54" customWidth="1"/>
    <col min="15" max="15" width="13.28515625" style="88" customWidth="1"/>
    <col min="16" max="16" width="14.5703125" style="54" customWidth="1"/>
    <col min="17" max="17" width="13.28515625" style="54" customWidth="1"/>
    <col min="18" max="18" width="3.85546875" style="54" customWidth="1"/>
    <col min="19" max="21" width="9.140625" style="54"/>
    <col min="22" max="22" width="9.7109375" style="54" bestFit="1" customWidth="1"/>
    <col min="23" max="23" width="13" style="54" bestFit="1" customWidth="1"/>
    <col min="24" max="16384" width="9.140625" style="54"/>
  </cols>
  <sheetData>
    <row r="2" spans="1:23" s="69" customFormat="1" ht="25.5" x14ac:dyDescent="0.35">
      <c r="A2" s="148" t="s">
        <v>170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V2" s="70">
        <v>0.1</v>
      </c>
      <c r="W2" s="71" t="e">
        <f>#REF!*V2</f>
        <v>#REF!</v>
      </c>
    </row>
    <row r="3" spans="1:23" s="69" customFormat="1" ht="25.5" x14ac:dyDescent="0.35">
      <c r="A3" s="149" t="s">
        <v>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V3" s="70"/>
      <c r="W3" s="71"/>
    </row>
    <row r="4" spans="1:23" s="69" customFormat="1" ht="25.5" x14ac:dyDescent="0.35">
      <c r="A4" s="149" t="s">
        <v>11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V4" s="70"/>
      <c r="W4" s="71"/>
    </row>
    <row r="6" spans="1:23" ht="15" customHeight="1" x14ac:dyDescent="0.25">
      <c r="B6" s="163" t="s">
        <v>1</v>
      </c>
      <c r="C6" s="166" t="s">
        <v>104</v>
      </c>
      <c r="D6" s="156" t="s">
        <v>105</v>
      </c>
      <c r="E6" s="154" t="s">
        <v>2</v>
      </c>
      <c r="F6" s="156"/>
      <c r="G6" s="171" t="s">
        <v>106</v>
      </c>
      <c r="H6" s="150" t="s">
        <v>107</v>
      </c>
      <c r="I6" s="150" t="s">
        <v>110</v>
      </c>
      <c r="J6" s="150" t="s">
        <v>108</v>
      </c>
      <c r="K6" s="153" t="s">
        <v>109</v>
      </c>
      <c r="L6" s="154" t="s">
        <v>3</v>
      </c>
      <c r="M6" s="155"/>
      <c r="N6" s="156"/>
      <c r="O6" s="154" t="s">
        <v>4</v>
      </c>
      <c r="P6" s="156"/>
      <c r="Q6" s="160" t="s">
        <v>5</v>
      </c>
    </row>
    <row r="7" spans="1:23" ht="30" customHeight="1" x14ac:dyDescent="0.25">
      <c r="B7" s="164"/>
      <c r="C7" s="167"/>
      <c r="D7" s="169"/>
      <c r="E7" s="170"/>
      <c r="F7" s="169"/>
      <c r="G7" s="171"/>
      <c r="H7" s="151"/>
      <c r="I7" s="151"/>
      <c r="J7" s="151"/>
      <c r="K7" s="146"/>
      <c r="L7" s="157"/>
      <c r="M7" s="158"/>
      <c r="N7" s="159"/>
      <c r="O7" s="157"/>
      <c r="P7" s="159"/>
      <c r="Q7" s="161"/>
    </row>
    <row r="8" spans="1:23" ht="12" customHeight="1" x14ac:dyDescent="0.25">
      <c r="B8" s="164"/>
      <c r="C8" s="167"/>
      <c r="D8" s="169"/>
      <c r="E8" s="170"/>
      <c r="F8" s="169"/>
      <c r="G8" s="171"/>
      <c r="H8" s="151"/>
      <c r="I8" s="151"/>
      <c r="J8" s="151"/>
      <c r="K8" s="146"/>
      <c r="L8" s="150" t="s">
        <v>7</v>
      </c>
      <c r="M8" s="146" t="s">
        <v>8</v>
      </c>
      <c r="N8" s="146" t="s">
        <v>9</v>
      </c>
      <c r="O8" s="175" t="s">
        <v>8</v>
      </c>
      <c r="P8" s="146" t="s">
        <v>9</v>
      </c>
      <c r="Q8" s="161"/>
    </row>
    <row r="9" spans="1:23" ht="29.25" customHeight="1" x14ac:dyDescent="0.25">
      <c r="B9" s="165"/>
      <c r="C9" s="168"/>
      <c r="D9" s="159"/>
      <c r="E9" s="157"/>
      <c r="F9" s="159"/>
      <c r="G9" s="171"/>
      <c r="H9" s="55"/>
      <c r="I9" s="152"/>
      <c r="J9" s="152"/>
      <c r="K9" s="147"/>
      <c r="L9" s="152"/>
      <c r="M9" s="147"/>
      <c r="N9" s="147"/>
      <c r="O9" s="176"/>
      <c r="P9" s="147"/>
      <c r="Q9" s="162"/>
    </row>
    <row r="10" spans="1:23" ht="31.5" hidden="1" customHeight="1" x14ac:dyDescent="0.25">
      <c r="B10" s="72"/>
      <c r="C10" s="58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66"/>
      <c r="P10" s="56"/>
      <c r="Q10" s="56"/>
    </row>
    <row r="11" spans="1:23" ht="48" customHeight="1" x14ac:dyDescent="0.25">
      <c r="B11" s="59" t="s">
        <v>169</v>
      </c>
      <c r="C11" s="60" t="s">
        <v>111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66"/>
      <c r="P11" s="56"/>
      <c r="Q11" s="56"/>
    </row>
    <row r="12" spans="1:23" ht="48" hidden="1" customHeight="1" x14ac:dyDescent="0.25">
      <c r="B12" s="72"/>
      <c r="C12" s="60" t="s">
        <v>112</v>
      </c>
      <c r="D12" s="56"/>
      <c r="E12" s="56"/>
      <c r="F12" s="56"/>
      <c r="G12" s="56"/>
      <c r="H12" s="56"/>
      <c r="I12" s="56"/>
      <c r="J12" s="56" t="s">
        <v>33</v>
      </c>
      <c r="K12" s="56"/>
      <c r="L12" s="56"/>
      <c r="M12" s="56"/>
      <c r="N12" s="56"/>
      <c r="O12" s="66"/>
      <c r="P12" s="56"/>
      <c r="Q12" s="56"/>
    </row>
    <row r="13" spans="1:23" ht="48" hidden="1" customHeight="1" x14ac:dyDescent="0.25">
      <c r="B13" s="72"/>
      <c r="C13" s="61" t="s">
        <v>113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66"/>
      <c r="P13" s="56"/>
      <c r="Q13" s="56"/>
    </row>
    <row r="14" spans="1:23" ht="20.25" hidden="1" customHeight="1" x14ac:dyDescent="0.25">
      <c r="B14" s="72"/>
      <c r="C14" s="62" t="s">
        <v>114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66"/>
      <c r="P14" s="56"/>
      <c r="Q14" s="56"/>
    </row>
    <row r="15" spans="1:23" ht="20.25" hidden="1" customHeight="1" x14ac:dyDescent="0.25">
      <c r="B15" s="72"/>
      <c r="C15" s="63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66"/>
      <c r="P15" s="56"/>
      <c r="Q15" s="56"/>
    </row>
    <row r="16" spans="1:23" ht="25.5" hidden="1" customHeight="1" x14ac:dyDescent="0.25">
      <c r="B16" s="72"/>
      <c r="C16" s="64" t="s">
        <v>115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6"/>
      <c r="P16" s="56"/>
      <c r="Q16" s="56"/>
    </row>
    <row r="17" spans="2:22" ht="20.25" customHeight="1" x14ac:dyDescent="0.25">
      <c r="B17" s="72"/>
      <c r="C17" s="61" t="s">
        <v>116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6"/>
      <c r="P17" s="56"/>
      <c r="Q17" s="56"/>
      <c r="V17" s="54" t="s">
        <v>33</v>
      </c>
    </row>
    <row r="18" spans="2:22" s="82" customFormat="1" ht="54" customHeight="1" x14ac:dyDescent="0.25">
      <c r="B18" s="72">
        <v>1</v>
      </c>
      <c r="C18" s="79" t="s">
        <v>117</v>
      </c>
      <c r="D18" s="65" t="s">
        <v>118</v>
      </c>
      <c r="E18" s="80">
        <v>50</v>
      </c>
      <c r="F18" s="65" t="s">
        <v>6</v>
      </c>
      <c r="G18" s="65"/>
      <c r="H18" s="65" t="s">
        <v>119</v>
      </c>
      <c r="I18" s="65" t="s">
        <v>120</v>
      </c>
      <c r="J18" s="81">
        <v>350000000</v>
      </c>
      <c r="K18" s="81"/>
      <c r="L18" s="77">
        <f>M18*J18/100</f>
        <v>87500000</v>
      </c>
      <c r="M18" s="78">
        <v>25</v>
      </c>
      <c r="N18" s="76">
        <f>(L18/J$31)*100</f>
        <v>1.6930431174933611</v>
      </c>
      <c r="O18" s="76">
        <v>35.1</v>
      </c>
      <c r="P18" s="76">
        <f>((O18/100*J18)/J$31*100)</f>
        <v>2.3770325369606793</v>
      </c>
      <c r="Q18" s="65"/>
    </row>
    <row r="19" spans="2:22" s="82" customFormat="1" ht="54" customHeight="1" x14ac:dyDescent="0.25">
      <c r="B19" s="72">
        <v>2</v>
      </c>
      <c r="C19" s="83" t="s">
        <v>121</v>
      </c>
      <c r="D19" s="65" t="s">
        <v>122</v>
      </c>
      <c r="E19" s="80">
        <v>50</v>
      </c>
      <c r="F19" s="65" t="s">
        <v>6</v>
      </c>
      <c r="G19" s="65"/>
      <c r="H19" s="65" t="s">
        <v>123</v>
      </c>
      <c r="I19" s="65" t="s">
        <v>124</v>
      </c>
      <c r="J19" s="81">
        <v>350000000</v>
      </c>
      <c r="K19" s="81"/>
      <c r="L19" s="77">
        <f t="shared" ref="L19:L23" si="0">M19*J19/100</f>
        <v>87500000</v>
      </c>
      <c r="M19" s="78">
        <f>M18</f>
        <v>25</v>
      </c>
      <c r="N19" s="76">
        <f t="shared" ref="N19:N30" si="1">(L19/J$31)*100</f>
        <v>1.6930431174933611</v>
      </c>
      <c r="O19" s="76">
        <v>37.4</v>
      </c>
      <c r="P19" s="76">
        <f t="shared" ref="P19:P30" si="2">((O19/100*J19)/J$31*100)</f>
        <v>2.5327925037700685</v>
      </c>
      <c r="Q19" s="65"/>
    </row>
    <row r="20" spans="2:22" s="82" customFormat="1" ht="54" customHeight="1" x14ac:dyDescent="0.25">
      <c r="B20" s="72">
        <v>3</v>
      </c>
      <c r="C20" s="79" t="s">
        <v>125</v>
      </c>
      <c r="D20" s="65" t="s">
        <v>126</v>
      </c>
      <c r="E20" s="80">
        <v>50</v>
      </c>
      <c r="F20" s="65" t="s">
        <v>6</v>
      </c>
      <c r="G20" s="65"/>
      <c r="H20" s="65" t="s">
        <v>127</v>
      </c>
      <c r="I20" s="65" t="s">
        <v>128</v>
      </c>
      <c r="J20" s="81">
        <v>350000000</v>
      </c>
      <c r="K20" s="81"/>
      <c r="L20" s="77">
        <f t="shared" si="0"/>
        <v>87500000</v>
      </c>
      <c r="M20" s="78">
        <f t="shared" ref="M20:M29" si="3">M19</f>
        <v>25</v>
      </c>
      <c r="N20" s="76">
        <f t="shared" si="1"/>
        <v>1.6930431174933611</v>
      </c>
      <c r="O20" s="76">
        <v>38.520000000000003</v>
      </c>
      <c r="P20" s="76">
        <f t="shared" si="2"/>
        <v>2.6086408354337709</v>
      </c>
      <c r="Q20" s="65"/>
    </row>
    <row r="21" spans="2:22" s="82" customFormat="1" ht="54" customHeight="1" x14ac:dyDescent="0.25">
      <c r="B21" s="72">
        <v>4</v>
      </c>
      <c r="C21" s="79" t="s">
        <v>129</v>
      </c>
      <c r="D21" s="65" t="s">
        <v>130</v>
      </c>
      <c r="E21" s="80">
        <v>60</v>
      </c>
      <c r="F21" s="65" t="s">
        <v>6</v>
      </c>
      <c r="G21" s="65"/>
      <c r="H21" s="65" t="s">
        <v>131</v>
      </c>
      <c r="I21" s="65" t="s">
        <v>132</v>
      </c>
      <c r="J21" s="81">
        <v>420000000</v>
      </c>
      <c r="K21" s="81"/>
      <c r="L21" s="77">
        <f t="shared" si="0"/>
        <v>105000000</v>
      </c>
      <c r="M21" s="78">
        <f t="shared" si="3"/>
        <v>25</v>
      </c>
      <c r="N21" s="76">
        <f t="shared" si="1"/>
        <v>2.0316517409920336</v>
      </c>
      <c r="O21" s="76">
        <v>34.200000000000003</v>
      </c>
      <c r="P21" s="76">
        <f t="shared" si="2"/>
        <v>2.779299581677102</v>
      </c>
      <c r="Q21" s="65"/>
    </row>
    <row r="22" spans="2:22" s="82" customFormat="1" ht="54" customHeight="1" x14ac:dyDescent="0.25">
      <c r="B22" s="72">
        <v>5</v>
      </c>
      <c r="C22" s="79" t="s">
        <v>133</v>
      </c>
      <c r="D22" s="65" t="s">
        <v>25</v>
      </c>
      <c r="E22" s="80">
        <v>56</v>
      </c>
      <c r="F22" s="65" t="s">
        <v>6</v>
      </c>
      <c r="G22" s="65"/>
      <c r="H22" s="65" t="s">
        <v>134</v>
      </c>
      <c r="I22" s="65" t="s">
        <v>135</v>
      </c>
      <c r="J22" s="81">
        <v>392000000</v>
      </c>
      <c r="K22" s="81"/>
      <c r="L22" s="77">
        <f t="shared" si="0"/>
        <v>98000000</v>
      </c>
      <c r="M22" s="78">
        <f t="shared" si="3"/>
        <v>25</v>
      </c>
      <c r="N22" s="76">
        <f t="shared" si="1"/>
        <v>1.8962082915925647</v>
      </c>
      <c r="O22" s="76">
        <v>36.58</v>
      </c>
      <c r="P22" s="76">
        <f t="shared" si="2"/>
        <v>2.7745319722582398</v>
      </c>
      <c r="Q22" s="65"/>
    </row>
    <row r="23" spans="2:22" s="82" customFormat="1" ht="54" customHeight="1" x14ac:dyDescent="0.25">
      <c r="B23" s="72">
        <v>6</v>
      </c>
      <c r="C23" s="79" t="s">
        <v>136</v>
      </c>
      <c r="D23" s="65" t="s">
        <v>137</v>
      </c>
      <c r="E23" s="80">
        <v>55</v>
      </c>
      <c r="F23" s="65" t="s">
        <v>6</v>
      </c>
      <c r="G23" s="65"/>
      <c r="H23" s="65" t="s">
        <v>138</v>
      </c>
      <c r="I23" s="65" t="s">
        <v>139</v>
      </c>
      <c r="J23" s="81">
        <v>385000000</v>
      </c>
      <c r="K23" s="81"/>
      <c r="L23" s="77">
        <f t="shared" si="0"/>
        <v>96250000</v>
      </c>
      <c r="M23" s="78">
        <f t="shared" si="3"/>
        <v>25</v>
      </c>
      <c r="N23" s="76">
        <f t="shared" si="1"/>
        <v>1.8623474292426971</v>
      </c>
      <c r="O23" s="76">
        <v>40.25</v>
      </c>
      <c r="P23" s="76">
        <f t="shared" si="2"/>
        <v>2.9983793610807425</v>
      </c>
      <c r="Q23" s="65"/>
    </row>
    <row r="24" spans="2:22" s="82" customFormat="1" ht="54" customHeight="1" x14ac:dyDescent="0.25">
      <c r="B24" s="72">
        <v>7</v>
      </c>
      <c r="C24" s="79" t="s">
        <v>140</v>
      </c>
      <c r="D24" s="65" t="s">
        <v>141</v>
      </c>
      <c r="E24" s="80">
        <v>50</v>
      </c>
      <c r="F24" s="65" t="s">
        <v>6</v>
      </c>
      <c r="G24" s="65"/>
      <c r="H24" s="65" t="s">
        <v>142</v>
      </c>
      <c r="I24" s="65" t="s">
        <v>143</v>
      </c>
      <c r="J24" s="81">
        <v>350000000</v>
      </c>
      <c r="K24" s="81"/>
      <c r="L24" s="77">
        <f>M24*J24/100</f>
        <v>87500000</v>
      </c>
      <c r="M24" s="78">
        <f t="shared" si="3"/>
        <v>25</v>
      </c>
      <c r="N24" s="76">
        <f t="shared" si="1"/>
        <v>1.6930431174933611</v>
      </c>
      <c r="O24" s="76">
        <v>38.25</v>
      </c>
      <c r="P24" s="76">
        <f t="shared" si="2"/>
        <v>2.5903559697648428</v>
      </c>
      <c r="Q24" s="65"/>
    </row>
    <row r="25" spans="2:22" s="82" customFormat="1" ht="54" customHeight="1" x14ac:dyDescent="0.25">
      <c r="B25" s="72">
        <v>8</v>
      </c>
      <c r="C25" s="79" t="s">
        <v>144</v>
      </c>
      <c r="D25" s="65" t="s">
        <v>34</v>
      </c>
      <c r="E25" s="80">
        <v>56</v>
      </c>
      <c r="F25" s="65" t="s">
        <v>6</v>
      </c>
      <c r="G25" s="65"/>
      <c r="H25" s="65" t="s">
        <v>145</v>
      </c>
      <c r="I25" s="65" t="s">
        <v>146</v>
      </c>
      <c r="J25" s="81">
        <v>392000000</v>
      </c>
      <c r="K25" s="81"/>
      <c r="L25" s="77">
        <f t="shared" ref="L25:L29" si="4">M25*J25/100</f>
        <v>98000000</v>
      </c>
      <c r="M25" s="78">
        <f t="shared" si="3"/>
        <v>25</v>
      </c>
      <c r="N25" s="76">
        <f t="shared" si="1"/>
        <v>1.8962082915925647</v>
      </c>
      <c r="O25" s="76">
        <v>35.25</v>
      </c>
      <c r="P25" s="76">
        <f t="shared" si="2"/>
        <v>2.6736536911455158</v>
      </c>
      <c r="Q25" s="65"/>
    </row>
    <row r="26" spans="2:22" s="82" customFormat="1" ht="54" customHeight="1" x14ac:dyDescent="0.25">
      <c r="B26" s="72">
        <v>9</v>
      </c>
      <c r="C26" s="79" t="s">
        <v>147</v>
      </c>
      <c r="D26" s="67" t="s">
        <v>148</v>
      </c>
      <c r="E26" s="80">
        <v>54</v>
      </c>
      <c r="F26" s="65" t="s">
        <v>6</v>
      </c>
      <c r="G26" s="65"/>
      <c r="H26" s="65" t="s">
        <v>149</v>
      </c>
      <c r="I26" s="65" t="s">
        <v>150</v>
      </c>
      <c r="J26" s="81">
        <v>378000000</v>
      </c>
      <c r="K26" s="81"/>
      <c r="L26" s="77">
        <f t="shared" si="4"/>
        <v>94500000</v>
      </c>
      <c r="M26" s="78">
        <f t="shared" si="3"/>
        <v>25</v>
      </c>
      <c r="N26" s="76">
        <f t="shared" si="1"/>
        <v>1.8284865668928303</v>
      </c>
      <c r="O26" s="76">
        <v>40.1</v>
      </c>
      <c r="P26" s="76">
        <f t="shared" si="2"/>
        <v>2.9328924532960996</v>
      </c>
      <c r="Q26" s="65"/>
    </row>
    <row r="27" spans="2:22" s="82" customFormat="1" ht="54" customHeight="1" x14ac:dyDescent="0.25">
      <c r="B27" s="72">
        <v>10</v>
      </c>
      <c r="C27" s="84" t="s">
        <v>151</v>
      </c>
      <c r="D27" s="65" t="s">
        <v>152</v>
      </c>
      <c r="E27" s="80">
        <v>50</v>
      </c>
      <c r="F27" s="65" t="s">
        <v>6</v>
      </c>
      <c r="G27" s="65"/>
      <c r="H27" s="67" t="s">
        <v>153</v>
      </c>
      <c r="I27" s="65" t="s">
        <v>154</v>
      </c>
      <c r="J27" s="81">
        <v>350000000</v>
      </c>
      <c r="K27" s="81"/>
      <c r="L27" s="77">
        <f t="shared" si="4"/>
        <v>87500000</v>
      </c>
      <c r="M27" s="78">
        <f t="shared" si="3"/>
        <v>25</v>
      </c>
      <c r="N27" s="76">
        <f t="shared" si="1"/>
        <v>1.6930431174933611</v>
      </c>
      <c r="O27" s="76">
        <v>40.200000000000003</v>
      </c>
      <c r="P27" s="76">
        <f t="shared" si="2"/>
        <v>2.722413332929325</v>
      </c>
      <c r="Q27" s="65"/>
    </row>
    <row r="28" spans="2:22" s="82" customFormat="1" ht="54" customHeight="1" x14ac:dyDescent="0.25">
      <c r="B28" s="72">
        <v>11</v>
      </c>
      <c r="C28" s="79" t="s">
        <v>155</v>
      </c>
      <c r="D28" s="65" t="s">
        <v>156</v>
      </c>
      <c r="E28" s="80">
        <v>67</v>
      </c>
      <c r="F28" s="65" t="s">
        <v>6</v>
      </c>
      <c r="G28" s="65"/>
      <c r="H28" s="65" t="s">
        <v>157</v>
      </c>
      <c r="I28" s="65" t="s">
        <v>158</v>
      </c>
      <c r="J28" s="81">
        <v>469000000</v>
      </c>
      <c r="K28" s="81"/>
      <c r="L28" s="77">
        <f t="shared" si="4"/>
        <v>117250000</v>
      </c>
      <c r="M28" s="78">
        <f t="shared" si="3"/>
        <v>25</v>
      </c>
      <c r="N28" s="76">
        <f t="shared" si="1"/>
        <v>2.2686777774411042</v>
      </c>
      <c r="O28" s="76">
        <v>35.07</v>
      </c>
      <c r="P28" s="76">
        <f t="shared" si="2"/>
        <v>3.182501186194381</v>
      </c>
      <c r="Q28" s="65"/>
    </row>
    <row r="29" spans="2:22" s="82" customFormat="1" ht="54" customHeight="1" x14ac:dyDescent="0.25">
      <c r="B29" s="72">
        <v>12</v>
      </c>
      <c r="C29" s="79" t="s">
        <v>159</v>
      </c>
      <c r="D29" s="65" t="s">
        <v>160</v>
      </c>
      <c r="E29" s="80">
        <v>52</v>
      </c>
      <c r="F29" s="65" t="s">
        <v>6</v>
      </c>
      <c r="G29" s="65"/>
      <c r="H29" s="65" t="s">
        <v>161</v>
      </c>
      <c r="I29" s="65" t="s">
        <v>162</v>
      </c>
      <c r="J29" s="81">
        <v>364000000</v>
      </c>
      <c r="K29" s="81"/>
      <c r="L29" s="77">
        <f t="shared" si="4"/>
        <v>91000000</v>
      </c>
      <c r="M29" s="78">
        <f t="shared" si="3"/>
        <v>25</v>
      </c>
      <c r="N29" s="76">
        <f t="shared" si="1"/>
        <v>1.7607648421930955</v>
      </c>
      <c r="O29" s="76">
        <v>38.049999999999997</v>
      </c>
      <c r="P29" s="76">
        <f t="shared" si="2"/>
        <v>2.6798840898178913</v>
      </c>
      <c r="Q29" s="65"/>
    </row>
    <row r="30" spans="2:22" s="82" customFormat="1" ht="54" customHeight="1" x14ac:dyDescent="0.25">
      <c r="B30" s="73">
        <v>13</v>
      </c>
      <c r="C30" s="85" t="s">
        <v>163</v>
      </c>
      <c r="D30" s="65" t="s">
        <v>164</v>
      </c>
      <c r="E30" s="80">
        <v>1</v>
      </c>
      <c r="F30" s="65" t="s">
        <v>10</v>
      </c>
      <c r="G30" s="65"/>
      <c r="H30" s="86" t="s">
        <v>172</v>
      </c>
      <c r="I30" s="65" t="s">
        <v>165</v>
      </c>
      <c r="J30" s="81">
        <v>618208600</v>
      </c>
      <c r="K30" s="87"/>
      <c r="L30" s="57">
        <v>0</v>
      </c>
      <c r="M30" s="57">
        <v>0</v>
      </c>
      <c r="N30" s="76">
        <f t="shared" si="1"/>
        <v>0</v>
      </c>
      <c r="O30" s="76">
        <v>0</v>
      </c>
      <c r="P30" s="76">
        <f t="shared" si="2"/>
        <v>0</v>
      </c>
      <c r="Q30" s="65"/>
    </row>
    <row r="31" spans="2:22" s="74" customFormat="1" ht="50.25" customHeight="1" x14ac:dyDescent="0.25">
      <c r="B31" s="172" t="s">
        <v>171</v>
      </c>
      <c r="C31" s="173"/>
      <c r="D31" s="173"/>
      <c r="E31" s="173"/>
      <c r="F31" s="173"/>
      <c r="G31" s="173"/>
      <c r="H31" s="173"/>
      <c r="I31" s="174"/>
      <c r="J31" s="75">
        <f>SUM(J18:J30)</f>
        <v>5168208600</v>
      </c>
      <c r="K31" s="57"/>
      <c r="L31" s="57"/>
      <c r="M31" s="57"/>
      <c r="N31" s="57"/>
      <c r="O31" s="76"/>
      <c r="P31" s="57"/>
      <c r="Q31" s="57"/>
    </row>
    <row r="33" spans="12:12" x14ac:dyDescent="0.25">
      <c r="L33" s="54" t="s">
        <v>166</v>
      </c>
    </row>
    <row r="38" spans="12:12" x14ac:dyDescent="0.25">
      <c r="L38" s="68" t="s">
        <v>167</v>
      </c>
    </row>
    <row r="39" spans="12:12" x14ac:dyDescent="0.25">
      <c r="L39" s="54" t="s">
        <v>168</v>
      </c>
    </row>
  </sheetData>
  <mergeCells count="21">
    <mergeCell ref="G6:G9"/>
    <mergeCell ref="H6:H8"/>
    <mergeCell ref="B31:I31"/>
    <mergeCell ref="O8:O9"/>
    <mergeCell ref="I6:I9"/>
    <mergeCell ref="P8:P9"/>
    <mergeCell ref="A2:T2"/>
    <mergeCell ref="A3:T3"/>
    <mergeCell ref="A4:T4"/>
    <mergeCell ref="J6:J9"/>
    <mergeCell ref="K6:K9"/>
    <mergeCell ref="L6:N7"/>
    <mergeCell ref="O6:P7"/>
    <mergeCell ref="Q6:Q9"/>
    <mergeCell ref="L8:L9"/>
    <mergeCell ref="M8:M9"/>
    <mergeCell ref="N8:N9"/>
    <mergeCell ref="B6:B9"/>
    <mergeCell ref="C6:C9"/>
    <mergeCell ref="D6:D9"/>
    <mergeCell ref="E6:F9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48" orientation="landscape" horizontalDpi="4294967293" verticalDpi="360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view="pageBreakPreview" topLeftCell="A25" zoomScale="70" zoomScaleNormal="70" zoomScaleSheetLayoutView="70" workbookViewId="0">
      <selection activeCell="U11" sqref="U11"/>
    </sheetView>
  </sheetViews>
  <sheetFormatPr defaultRowHeight="16.5" x14ac:dyDescent="0.3"/>
  <cols>
    <col min="1" max="1" width="7" style="33" customWidth="1"/>
    <col min="2" max="2" width="31.140625" style="33" customWidth="1"/>
    <col min="3" max="3" width="25.42578125" style="33" customWidth="1"/>
    <col min="4" max="4" width="40.5703125" style="33" customWidth="1"/>
    <col min="5" max="5" width="28.42578125" style="33" hidden="1" customWidth="1"/>
    <col min="6" max="6" width="20.42578125" style="33" hidden="1" customWidth="1"/>
    <col min="7" max="7" width="9.140625" style="33" hidden="1" customWidth="1"/>
    <col min="8" max="9" width="21.28515625" style="33" hidden="1" customWidth="1"/>
    <col min="10" max="10" width="41.85546875" style="33" customWidth="1"/>
    <col min="11" max="11" width="22.28515625" style="33" hidden="1" customWidth="1"/>
    <col min="12" max="12" width="20.7109375" style="33" customWidth="1"/>
    <col min="13" max="13" width="36.28515625" style="33" customWidth="1"/>
    <col min="14" max="14" width="33.7109375" style="33" customWidth="1"/>
    <col min="15" max="15" width="5" style="33" hidden="1" customWidth="1"/>
    <col min="16" max="16" width="33.7109375" style="33" customWidth="1"/>
    <col min="17" max="17" width="11" style="33" customWidth="1"/>
    <col min="18" max="18" width="18.85546875" style="33" customWidth="1"/>
    <col min="19" max="19" width="14.7109375" style="33" customWidth="1"/>
    <col min="20" max="20" width="18.5703125" style="33" customWidth="1"/>
    <col min="21" max="21" width="33.5703125" style="33" customWidth="1"/>
    <col min="22" max="22" width="7.7109375" style="33" customWidth="1"/>
    <col min="23" max="23" width="11.7109375" style="33" customWidth="1"/>
    <col min="24" max="24" width="30.28515625" style="33" customWidth="1"/>
    <col min="25" max="25" width="7" style="33" customWidth="1"/>
    <col min="26" max="26" width="12.7109375" style="33" customWidth="1"/>
    <col min="27" max="27" width="20.140625" style="33" customWidth="1"/>
    <col min="28" max="28" width="19.42578125" style="33" customWidth="1"/>
    <col min="29" max="29" width="21.140625" style="33" customWidth="1"/>
    <col min="30" max="30" width="9.140625" style="33"/>
    <col min="31" max="31" width="29.140625" style="33" customWidth="1"/>
    <col min="32" max="16384" width="9.140625" style="33"/>
  </cols>
  <sheetData>
    <row r="1" spans="1:28" s="2" customFormat="1" ht="20.25" x14ac:dyDescent="0.3">
      <c r="A1" s="142" t="s">
        <v>12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94"/>
      <c r="W1" s="3">
        <v>0.1</v>
      </c>
      <c r="X1" s="4" t="e">
        <f>#REF!*W1</f>
        <v>#REF!</v>
      </c>
    </row>
    <row r="2" spans="1:28" s="2" customFormat="1" ht="20.25" x14ac:dyDescent="0.3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95"/>
      <c r="W2" s="3"/>
      <c r="X2" s="4"/>
    </row>
    <row r="3" spans="1:28" s="2" customFormat="1" ht="20.25" x14ac:dyDescent="0.3">
      <c r="A3" s="143" t="s">
        <v>185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95"/>
      <c r="W3" s="3"/>
      <c r="X3" s="4"/>
    </row>
    <row r="4" spans="1:28" s="2" customFormat="1" ht="20.25" x14ac:dyDescent="0.3">
      <c r="A4" s="1" t="s">
        <v>252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X4" s="5"/>
    </row>
    <row r="6" spans="1:28" s="122" customFormat="1" ht="32.25" customHeight="1" x14ac:dyDescent="0.25">
      <c r="A6" s="179" t="s">
        <v>1</v>
      </c>
      <c r="B6" s="179" t="s">
        <v>14</v>
      </c>
      <c r="C6" s="179" t="s">
        <v>13</v>
      </c>
      <c r="D6" s="179" t="s">
        <v>21</v>
      </c>
      <c r="E6" s="98" t="s">
        <v>16</v>
      </c>
      <c r="F6" s="98" t="s">
        <v>17</v>
      </c>
      <c r="G6" s="98" t="s">
        <v>18</v>
      </c>
      <c r="H6" s="98" t="s">
        <v>19</v>
      </c>
      <c r="I6" s="98"/>
      <c r="J6" s="177" t="s">
        <v>180</v>
      </c>
      <c r="K6" s="98" t="s">
        <v>20</v>
      </c>
      <c r="L6" s="177" t="s">
        <v>173</v>
      </c>
      <c r="M6" s="179" t="s">
        <v>174</v>
      </c>
      <c r="N6" s="179" t="s">
        <v>182</v>
      </c>
      <c r="O6" s="99" t="s">
        <v>22</v>
      </c>
      <c r="P6" s="181" t="s">
        <v>72</v>
      </c>
      <c r="Q6" s="181"/>
      <c r="R6" s="181"/>
      <c r="S6" s="181" t="s">
        <v>70</v>
      </c>
      <c r="T6" s="181"/>
      <c r="U6" s="177" t="s">
        <v>254</v>
      </c>
      <c r="V6" s="121"/>
      <c r="W6" s="121"/>
      <c r="X6" s="121"/>
      <c r="AA6" s="123" t="s">
        <v>23</v>
      </c>
      <c r="AB6" s="123" t="s">
        <v>24</v>
      </c>
    </row>
    <row r="7" spans="1:28" s="122" customFormat="1" ht="15.75" x14ac:dyDescent="0.25">
      <c r="A7" s="180"/>
      <c r="B7" s="180"/>
      <c r="C7" s="180"/>
      <c r="D7" s="180"/>
      <c r="E7" s="98"/>
      <c r="F7" s="98"/>
      <c r="G7" s="98"/>
      <c r="H7" s="98"/>
      <c r="I7" s="98"/>
      <c r="J7" s="178"/>
      <c r="K7" s="98"/>
      <c r="L7" s="178"/>
      <c r="M7" s="180"/>
      <c r="N7" s="180"/>
      <c r="O7" s="99"/>
      <c r="P7" s="98" t="s">
        <v>69</v>
      </c>
      <c r="Q7" s="98" t="s">
        <v>8</v>
      </c>
      <c r="R7" s="98" t="s">
        <v>9</v>
      </c>
      <c r="S7" s="98" t="s">
        <v>8</v>
      </c>
      <c r="T7" s="98" t="s">
        <v>9</v>
      </c>
      <c r="U7" s="178"/>
      <c r="V7" s="121"/>
      <c r="W7" s="121"/>
      <c r="X7" s="121"/>
      <c r="AA7" s="123"/>
      <c r="AB7" s="123"/>
    </row>
    <row r="8" spans="1:28" s="122" customFormat="1" ht="27.75" customHeight="1" x14ac:dyDescent="0.25">
      <c r="A8" s="100" t="s">
        <v>68</v>
      </c>
      <c r="B8" s="101" t="s">
        <v>73</v>
      </c>
      <c r="C8" s="100"/>
      <c r="D8" s="100"/>
      <c r="E8" s="98"/>
      <c r="F8" s="98"/>
      <c r="G8" s="98"/>
      <c r="H8" s="98"/>
      <c r="I8" s="98"/>
      <c r="J8" s="98"/>
      <c r="K8" s="98"/>
      <c r="L8" s="98"/>
      <c r="M8" s="100"/>
      <c r="N8" s="100"/>
      <c r="O8" s="99"/>
      <c r="P8" s="98"/>
      <c r="Q8" s="98"/>
      <c r="R8" s="98"/>
      <c r="S8" s="98"/>
      <c r="T8" s="98"/>
      <c r="U8" s="135"/>
      <c r="V8" s="121"/>
      <c r="W8" s="121"/>
      <c r="X8" s="121"/>
      <c r="AA8" s="123"/>
      <c r="AB8" s="123"/>
    </row>
    <row r="9" spans="1:28" s="125" customFormat="1" ht="63.75" customHeight="1" x14ac:dyDescent="0.25">
      <c r="A9" s="102">
        <v>1</v>
      </c>
      <c r="B9" s="96" t="s">
        <v>186</v>
      </c>
      <c r="C9" s="97" t="s">
        <v>197</v>
      </c>
      <c r="D9" s="96" t="s">
        <v>198</v>
      </c>
      <c r="E9" s="103"/>
      <c r="F9" s="103"/>
      <c r="G9" s="104"/>
      <c r="H9" s="105"/>
      <c r="I9" s="103"/>
      <c r="J9" s="106">
        <v>1270000000</v>
      </c>
      <c r="K9" s="103"/>
      <c r="L9" s="107">
        <v>127</v>
      </c>
      <c r="M9" s="97" t="s">
        <v>205</v>
      </c>
      <c r="N9" s="97" t="s">
        <v>206</v>
      </c>
      <c r="O9" s="108"/>
      <c r="P9" s="136">
        <v>1130300000</v>
      </c>
      <c r="Q9" s="109">
        <v>0.9</v>
      </c>
      <c r="R9" s="110">
        <f t="shared" ref="R9:R19" si="0">P9/J$28*100</f>
        <v>11.892385601680353</v>
      </c>
      <c r="S9" s="111">
        <v>0.9</v>
      </c>
      <c r="T9" s="134">
        <f t="shared" ref="T9:T19" si="1">((S9/100*J9)/J$28*100)*100</f>
        <v>12.026007911811595</v>
      </c>
      <c r="U9" s="138" t="s">
        <v>255</v>
      </c>
      <c r="V9" s="124"/>
      <c r="W9" s="124"/>
      <c r="X9" s="124"/>
      <c r="Z9" s="126" t="e">
        <f t="shared" ref="Z9:Z15" si="2">(F9/E9)*100%</f>
        <v>#DIV/0!</v>
      </c>
      <c r="AA9" s="127">
        <f t="shared" ref="AA9:AA15" si="3">(100/110)*E9</f>
        <v>0</v>
      </c>
      <c r="AB9" s="127">
        <f>(10/100)*AA9</f>
        <v>0</v>
      </c>
    </row>
    <row r="10" spans="1:28" s="125" customFormat="1" ht="63.75" customHeight="1" x14ac:dyDescent="0.25">
      <c r="A10" s="102">
        <v>2</v>
      </c>
      <c r="B10" s="96" t="s">
        <v>187</v>
      </c>
      <c r="C10" s="97" t="s">
        <v>228</v>
      </c>
      <c r="D10" s="96" t="s">
        <v>199</v>
      </c>
      <c r="E10" s="103"/>
      <c r="F10" s="103"/>
      <c r="G10" s="104"/>
      <c r="H10" s="105"/>
      <c r="I10" s="103"/>
      <c r="J10" s="106">
        <v>1320000000</v>
      </c>
      <c r="K10" s="103"/>
      <c r="L10" s="107">
        <v>120</v>
      </c>
      <c r="M10" s="97" t="s">
        <v>207</v>
      </c>
      <c r="N10" s="97" t="s">
        <v>208</v>
      </c>
      <c r="O10" s="108"/>
      <c r="P10" s="136">
        <v>1122000000</v>
      </c>
      <c r="Q10" s="109">
        <v>0.9</v>
      </c>
      <c r="R10" s="110">
        <f t="shared" si="0"/>
        <v>11.805057635216629</v>
      </c>
      <c r="S10" s="111">
        <v>0.9</v>
      </c>
      <c r="T10" s="134">
        <f t="shared" si="1"/>
        <v>12.499472790229376</v>
      </c>
      <c r="U10" s="138" t="s">
        <v>255</v>
      </c>
      <c r="V10" s="124"/>
      <c r="W10" s="124"/>
      <c r="X10" s="124">
        <f>2.32-1.45</f>
        <v>0.86999999999999988</v>
      </c>
      <c r="Z10" s="126" t="e">
        <f t="shared" si="2"/>
        <v>#DIV/0!</v>
      </c>
      <c r="AA10" s="127">
        <f t="shared" si="3"/>
        <v>0</v>
      </c>
      <c r="AB10" s="127">
        <f t="shared" ref="AB10:AB13" si="4">(10/100)*AA10</f>
        <v>0</v>
      </c>
    </row>
    <row r="11" spans="1:28" s="125" customFormat="1" ht="63.75" customHeight="1" x14ac:dyDescent="0.25">
      <c r="A11" s="102">
        <v>3</v>
      </c>
      <c r="B11" s="96" t="s">
        <v>188</v>
      </c>
      <c r="C11" s="97" t="s">
        <v>229</v>
      </c>
      <c r="D11" s="96" t="s">
        <v>199</v>
      </c>
      <c r="E11" s="103"/>
      <c r="F11" s="103"/>
      <c r="G11" s="104"/>
      <c r="H11" s="105"/>
      <c r="I11" s="103"/>
      <c r="J11" s="106">
        <v>1200000000</v>
      </c>
      <c r="K11" s="103"/>
      <c r="L11" s="107">
        <v>144</v>
      </c>
      <c r="M11" s="97" t="s">
        <v>209</v>
      </c>
      <c r="N11" s="97" t="s">
        <v>210</v>
      </c>
      <c r="O11" s="108"/>
      <c r="P11" s="136">
        <v>1140000000</v>
      </c>
      <c r="Q11" s="109">
        <v>0.95</v>
      </c>
      <c r="R11" s="110">
        <f t="shared" si="0"/>
        <v>11.994443586583742</v>
      </c>
      <c r="S11" s="111">
        <v>0.95</v>
      </c>
      <c r="T11" s="134">
        <f t="shared" si="1"/>
        <v>11.99444358658374</v>
      </c>
      <c r="U11" s="138" t="s">
        <v>255</v>
      </c>
      <c r="V11" s="124"/>
      <c r="W11" s="124"/>
      <c r="X11" s="124"/>
      <c r="Z11" s="126" t="e">
        <f t="shared" si="2"/>
        <v>#DIV/0!</v>
      </c>
      <c r="AA11" s="127">
        <f t="shared" si="3"/>
        <v>0</v>
      </c>
      <c r="AB11" s="127">
        <f t="shared" si="4"/>
        <v>0</v>
      </c>
    </row>
    <row r="12" spans="1:28" s="130" customFormat="1" ht="63.75" customHeight="1" x14ac:dyDescent="0.25">
      <c r="A12" s="112">
        <v>4</v>
      </c>
      <c r="B12" s="96" t="s">
        <v>189</v>
      </c>
      <c r="C12" s="97" t="s">
        <v>230</v>
      </c>
      <c r="D12" s="96" t="s">
        <v>198</v>
      </c>
      <c r="E12" s="113"/>
      <c r="F12" s="103"/>
      <c r="G12" s="114"/>
      <c r="H12" s="105"/>
      <c r="I12" s="103"/>
      <c r="J12" s="106">
        <v>1000000000</v>
      </c>
      <c r="K12" s="103"/>
      <c r="L12" s="107">
        <v>100</v>
      </c>
      <c r="M12" s="97" t="s">
        <v>211</v>
      </c>
      <c r="N12" s="97" t="s">
        <v>212</v>
      </c>
      <c r="O12" s="108"/>
      <c r="P12" s="136">
        <v>850000000</v>
      </c>
      <c r="Q12" s="109">
        <v>0.9</v>
      </c>
      <c r="R12" s="110">
        <f t="shared" si="0"/>
        <v>8.9432254812247187</v>
      </c>
      <c r="S12" s="111">
        <v>0.9</v>
      </c>
      <c r="T12" s="134">
        <f t="shared" si="1"/>
        <v>9.4692975683555876</v>
      </c>
      <c r="U12" s="138" t="s">
        <v>255</v>
      </c>
      <c r="V12" s="124"/>
      <c r="W12" s="128">
        <f>3.99-2.91</f>
        <v>1.08</v>
      </c>
      <c r="X12" s="129" t="e">
        <f>W12*#REF!</f>
        <v>#REF!</v>
      </c>
      <c r="Z12" s="126" t="e">
        <f t="shared" si="2"/>
        <v>#DIV/0!</v>
      </c>
      <c r="AA12" s="131">
        <f t="shared" si="3"/>
        <v>0</v>
      </c>
      <c r="AB12" s="131">
        <f t="shared" si="4"/>
        <v>0</v>
      </c>
    </row>
    <row r="13" spans="1:28" s="125" customFormat="1" ht="63.75" customHeight="1" x14ac:dyDescent="0.25">
      <c r="A13" s="102">
        <v>5</v>
      </c>
      <c r="B13" s="96" t="s">
        <v>190</v>
      </c>
      <c r="C13" s="97" t="s">
        <v>231</v>
      </c>
      <c r="D13" s="96" t="s">
        <v>200</v>
      </c>
      <c r="E13" s="103"/>
      <c r="F13" s="103"/>
      <c r="G13" s="104"/>
      <c r="H13" s="105"/>
      <c r="I13" s="103"/>
      <c r="J13" s="106">
        <v>600000000</v>
      </c>
      <c r="K13" s="103"/>
      <c r="L13" s="107">
        <v>81</v>
      </c>
      <c r="M13" s="97" t="s">
        <v>213</v>
      </c>
      <c r="N13" s="97" t="s">
        <v>214</v>
      </c>
      <c r="O13" s="108"/>
      <c r="P13" s="136">
        <v>600000000</v>
      </c>
      <c r="Q13" s="109">
        <v>1</v>
      </c>
      <c r="R13" s="110">
        <f t="shared" si="0"/>
        <v>6.3128650455703896</v>
      </c>
      <c r="S13" s="111">
        <v>1</v>
      </c>
      <c r="T13" s="134">
        <f t="shared" si="1"/>
        <v>6.3128650455703896</v>
      </c>
      <c r="U13" s="106" t="s">
        <v>256</v>
      </c>
      <c r="V13" s="124"/>
      <c r="W13" s="124"/>
      <c r="X13" s="124">
        <f>4.28+0.41</f>
        <v>4.6900000000000004</v>
      </c>
      <c r="Z13" s="126" t="e">
        <f t="shared" si="2"/>
        <v>#DIV/0!</v>
      </c>
      <c r="AA13" s="127">
        <f t="shared" si="3"/>
        <v>0</v>
      </c>
      <c r="AB13" s="127">
        <f t="shared" si="4"/>
        <v>0</v>
      </c>
    </row>
    <row r="14" spans="1:28" s="125" customFormat="1" ht="63.75" customHeight="1" x14ac:dyDescent="0.25">
      <c r="A14" s="102">
        <v>6</v>
      </c>
      <c r="B14" s="96" t="s">
        <v>191</v>
      </c>
      <c r="C14" s="97" t="s">
        <v>232</v>
      </c>
      <c r="D14" s="96" t="s">
        <v>200</v>
      </c>
      <c r="E14" s="103"/>
      <c r="F14" s="103"/>
      <c r="G14" s="104"/>
      <c r="H14" s="105"/>
      <c r="I14" s="103"/>
      <c r="J14" s="106">
        <v>515000000</v>
      </c>
      <c r="K14" s="103"/>
      <c r="L14" s="107">
        <v>134</v>
      </c>
      <c r="M14" s="97" t="s">
        <v>215</v>
      </c>
      <c r="N14" s="97" t="s">
        <v>216</v>
      </c>
      <c r="O14" s="108"/>
      <c r="P14" s="106">
        <v>515000000</v>
      </c>
      <c r="Q14" s="109">
        <v>1</v>
      </c>
      <c r="R14" s="110">
        <f t="shared" si="0"/>
        <v>5.4185424974479179</v>
      </c>
      <c r="S14" s="111">
        <v>1</v>
      </c>
      <c r="T14" s="134">
        <f t="shared" si="1"/>
        <v>5.4185424974479179</v>
      </c>
      <c r="U14" s="106" t="s">
        <v>257</v>
      </c>
      <c r="V14" s="124"/>
      <c r="W14" s="132">
        <f>3.85+0.65</f>
        <v>4.5</v>
      </c>
      <c r="X14" s="124" t="s">
        <v>33</v>
      </c>
      <c r="Z14" s="126" t="e">
        <f t="shared" si="2"/>
        <v>#DIV/0!</v>
      </c>
      <c r="AA14" s="127">
        <f t="shared" si="3"/>
        <v>0</v>
      </c>
      <c r="AB14" s="127">
        <f>(10/100)*AA14</f>
        <v>0</v>
      </c>
    </row>
    <row r="15" spans="1:28" s="54" customFormat="1" ht="63.75" customHeight="1" x14ac:dyDescent="0.25">
      <c r="A15" s="115">
        <v>7</v>
      </c>
      <c r="B15" s="96" t="s">
        <v>192</v>
      </c>
      <c r="C15" s="97" t="s">
        <v>233</v>
      </c>
      <c r="D15" s="97" t="s">
        <v>201</v>
      </c>
      <c r="E15" s="103"/>
      <c r="F15" s="103"/>
      <c r="G15" s="104"/>
      <c r="H15" s="105"/>
      <c r="I15" s="103"/>
      <c r="J15" s="106">
        <v>700000000</v>
      </c>
      <c r="K15" s="103"/>
      <c r="L15" s="107">
        <v>70</v>
      </c>
      <c r="M15" s="97" t="s">
        <v>217</v>
      </c>
      <c r="N15" s="97" t="s">
        <v>218</v>
      </c>
      <c r="O15" s="108"/>
      <c r="P15" s="136">
        <v>665000000</v>
      </c>
      <c r="Q15" s="109">
        <v>0.95</v>
      </c>
      <c r="R15" s="110">
        <f t="shared" si="0"/>
        <v>6.9967587588405156</v>
      </c>
      <c r="S15" s="111">
        <v>0.95</v>
      </c>
      <c r="T15" s="134">
        <f t="shared" si="1"/>
        <v>6.9967587588405156</v>
      </c>
      <c r="U15" s="138" t="s">
        <v>255</v>
      </c>
      <c r="V15" s="124"/>
      <c r="W15" s="133">
        <f>G15-W1</f>
        <v>-0.1</v>
      </c>
      <c r="X15" s="133"/>
      <c r="Z15" s="126" t="e">
        <f t="shared" si="2"/>
        <v>#DIV/0!</v>
      </c>
      <c r="AA15" s="127">
        <f t="shared" si="3"/>
        <v>0</v>
      </c>
      <c r="AB15" s="127">
        <f>(10/100)*AA15</f>
        <v>0</v>
      </c>
    </row>
    <row r="16" spans="1:28" s="54" customFormat="1" ht="63.75" customHeight="1" x14ac:dyDescent="0.25">
      <c r="A16" s="115">
        <v>8</v>
      </c>
      <c r="B16" s="96" t="s">
        <v>193</v>
      </c>
      <c r="C16" s="97" t="s">
        <v>234</v>
      </c>
      <c r="D16" s="97" t="s">
        <v>202</v>
      </c>
      <c r="E16" s="103"/>
      <c r="F16" s="103"/>
      <c r="G16" s="104"/>
      <c r="H16" s="105"/>
      <c r="I16" s="103"/>
      <c r="J16" s="106">
        <v>370000000</v>
      </c>
      <c r="K16" s="103"/>
      <c r="L16" s="107">
        <v>91</v>
      </c>
      <c r="M16" s="97" t="s">
        <v>219</v>
      </c>
      <c r="N16" s="97" t="s">
        <v>220</v>
      </c>
      <c r="O16" s="108"/>
      <c r="P16" s="106">
        <v>370000000</v>
      </c>
      <c r="Q16" s="109">
        <v>1</v>
      </c>
      <c r="R16" s="110">
        <f t="shared" si="0"/>
        <v>3.8929334447684072</v>
      </c>
      <c r="S16" s="111">
        <v>1</v>
      </c>
      <c r="T16" s="134">
        <f t="shared" si="1"/>
        <v>3.8929334447684072</v>
      </c>
      <c r="U16" s="106" t="s">
        <v>258</v>
      </c>
      <c r="V16" s="124"/>
      <c r="W16" s="128">
        <f>3.8-0.37</f>
        <v>3.4299999999999997</v>
      </c>
      <c r="X16" s="133"/>
      <c r="Z16" s="126"/>
      <c r="AA16" s="127"/>
      <c r="AB16" s="127"/>
    </row>
    <row r="17" spans="1:28" s="54" customFormat="1" ht="63.75" customHeight="1" x14ac:dyDescent="0.25">
      <c r="A17" s="115">
        <v>9</v>
      </c>
      <c r="B17" s="96" t="s">
        <v>194</v>
      </c>
      <c r="C17" s="97" t="s">
        <v>235</v>
      </c>
      <c r="D17" s="97" t="s">
        <v>203</v>
      </c>
      <c r="E17" s="103"/>
      <c r="F17" s="103"/>
      <c r="G17" s="104"/>
      <c r="H17" s="105"/>
      <c r="I17" s="103"/>
      <c r="J17" s="106">
        <v>660000000</v>
      </c>
      <c r="K17" s="103"/>
      <c r="L17" s="107">
        <v>132</v>
      </c>
      <c r="M17" s="97" t="s">
        <v>221</v>
      </c>
      <c r="N17" s="97" t="s">
        <v>222</v>
      </c>
      <c r="O17" s="108"/>
      <c r="P17" s="106">
        <v>660000000</v>
      </c>
      <c r="Q17" s="109">
        <v>1</v>
      </c>
      <c r="R17" s="110">
        <f t="shared" si="0"/>
        <v>6.9441515501274296</v>
      </c>
      <c r="S17" s="111">
        <v>1</v>
      </c>
      <c r="T17" s="134">
        <f t="shared" si="1"/>
        <v>6.9441515501274278</v>
      </c>
      <c r="U17" s="106" t="s">
        <v>259</v>
      </c>
      <c r="V17" s="124"/>
      <c r="W17" s="133"/>
      <c r="X17" s="133"/>
      <c r="Z17" s="126"/>
      <c r="AA17" s="127"/>
      <c r="AB17" s="127"/>
    </row>
    <row r="18" spans="1:28" s="54" customFormat="1" ht="63.75" customHeight="1" x14ac:dyDescent="0.25">
      <c r="A18" s="115">
        <v>10</v>
      </c>
      <c r="B18" s="96" t="s">
        <v>195</v>
      </c>
      <c r="C18" s="97" t="s">
        <v>236</v>
      </c>
      <c r="D18" s="97" t="s">
        <v>201</v>
      </c>
      <c r="E18" s="103"/>
      <c r="F18" s="103"/>
      <c r="G18" s="104"/>
      <c r="H18" s="105"/>
      <c r="I18" s="103"/>
      <c r="J18" s="106">
        <v>420000000</v>
      </c>
      <c r="K18" s="103"/>
      <c r="L18" s="107">
        <v>64</v>
      </c>
      <c r="M18" s="97" t="s">
        <v>223</v>
      </c>
      <c r="N18" s="97" t="s">
        <v>224</v>
      </c>
      <c r="O18" s="108"/>
      <c r="P18" s="136">
        <v>357000000</v>
      </c>
      <c r="Q18" s="109">
        <v>0.9</v>
      </c>
      <c r="R18" s="110">
        <f t="shared" si="0"/>
        <v>3.7561547021143822</v>
      </c>
      <c r="S18" s="111">
        <v>0.9</v>
      </c>
      <c r="T18" s="134">
        <f t="shared" si="1"/>
        <v>3.9771049787093462</v>
      </c>
      <c r="U18" s="138" t="s">
        <v>255</v>
      </c>
      <c r="V18" s="124"/>
      <c r="W18" s="133"/>
      <c r="X18" s="133"/>
      <c r="Z18" s="126"/>
      <c r="AA18" s="127"/>
      <c r="AB18" s="127"/>
    </row>
    <row r="19" spans="1:28" s="54" customFormat="1" ht="63.75" customHeight="1" x14ac:dyDescent="0.25">
      <c r="A19" s="115">
        <v>11</v>
      </c>
      <c r="B19" s="97" t="s">
        <v>196</v>
      </c>
      <c r="C19" s="97" t="s">
        <v>237</v>
      </c>
      <c r="D19" s="97" t="s">
        <v>204</v>
      </c>
      <c r="E19" s="103"/>
      <c r="F19" s="103"/>
      <c r="G19" s="104"/>
      <c r="H19" s="105"/>
      <c r="I19" s="103"/>
      <c r="J19" s="106">
        <v>1200000000</v>
      </c>
      <c r="K19" s="103"/>
      <c r="L19" s="107">
        <v>185</v>
      </c>
      <c r="M19" s="97" t="s">
        <v>225</v>
      </c>
      <c r="N19" s="97" t="s">
        <v>226</v>
      </c>
      <c r="O19" s="108"/>
      <c r="P19" s="136">
        <v>1020000000</v>
      </c>
      <c r="Q19" s="109">
        <v>0.9</v>
      </c>
      <c r="R19" s="110">
        <f t="shared" si="0"/>
        <v>10.731870577469662</v>
      </c>
      <c r="S19" s="111">
        <v>0.9</v>
      </c>
      <c r="T19" s="134">
        <f t="shared" si="1"/>
        <v>11.363157082026705</v>
      </c>
      <c r="U19" s="138" t="s">
        <v>255</v>
      </c>
      <c r="V19" s="132"/>
      <c r="W19" s="133"/>
      <c r="X19" s="128">
        <f>1.3+0.98</f>
        <v>2.2800000000000002</v>
      </c>
      <c r="Z19" s="126"/>
      <c r="AA19" s="127"/>
      <c r="AB19" s="127"/>
    </row>
    <row r="20" spans="1:28" s="54" customFormat="1" ht="52.5" customHeight="1" x14ac:dyDescent="0.25">
      <c r="A20" s="41" t="s">
        <v>91</v>
      </c>
      <c r="B20" s="42"/>
      <c r="C20" s="42"/>
      <c r="D20" s="43"/>
      <c r="E20" s="42"/>
      <c r="F20" s="42"/>
      <c r="G20" s="44"/>
      <c r="H20" s="43"/>
      <c r="I20" s="43"/>
      <c r="J20" s="93">
        <f>SUM(J9:J19)</f>
        <v>9255000000</v>
      </c>
      <c r="K20" s="45">
        <f>SUM(K9:K19)</f>
        <v>0</v>
      </c>
      <c r="L20" s="92">
        <f>SUM(L9:L19)</f>
        <v>1248</v>
      </c>
      <c r="M20" s="43"/>
      <c r="N20" s="43"/>
      <c r="O20" s="47"/>
      <c r="P20" s="45">
        <f>SUM(P9:P19)</f>
        <v>8429300000</v>
      </c>
      <c r="Q20" s="93"/>
      <c r="R20" s="48">
        <f>SUM(R9:R19)</f>
        <v>88.688388881044148</v>
      </c>
      <c r="S20" s="116"/>
      <c r="T20" s="48">
        <f>SUM(T9:T19)</f>
        <v>90.894735214471012</v>
      </c>
      <c r="U20" s="48"/>
      <c r="V20" s="124"/>
      <c r="W20" s="133"/>
      <c r="X20" s="133"/>
      <c r="Z20" s="126"/>
      <c r="AA20" s="127"/>
      <c r="AB20" s="127"/>
    </row>
    <row r="21" spans="1:28" s="54" customFormat="1" ht="52.5" customHeight="1" x14ac:dyDescent="0.25">
      <c r="A21" s="100" t="s">
        <v>74</v>
      </c>
      <c r="B21" s="101" t="s">
        <v>76</v>
      </c>
      <c r="C21" s="100"/>
      <c r="D21" s="100"/>
      <c r="E21" s="98"/>
      <c r="F21" s="98"/>
      <c r="G21" s="98"/>
      <c r="H21" s="98"/>
      <c r="I21" s="98"/>
      <c r="J21" s="117"/>
      <c r="K21" s="98"/>
      <c r="L21" s="98"/>
      <c r="M21" s="100"/>
      <c r="N21" s="100"/>
      <c r="O21" s="99"/>
      <c r="P21" s="98"/>
      <c r="Q21" s="117"/>
      <c r="R21" s="98"/>
      <c r="S21" s="116"/>
      <c r="T21" s="98"/>
      <c r="U21" s="135"/>
      <c r="V21" s="124"/>
      <c r="W21" s="133" t="e">
        <f>#REF!-W1</f>
        <v>#REF!</v>
      </c>
      <c r="X21" s="129" t="e">
        <f>W21*#REF!</f>
        <v>#REF!</v>
      </c>
      <c r="Z21" s="126" t="e">
        <f>(#REF!/#REF!)*100%</f>
        <v>#REF!</v>
      </c>
    </row>
    <row r="22" spans="1:28" s="47" customFormat="1" ht="78" customHeight="1" x14ac:dyDescent="0.25">
      <c r="A22" s="102">
        <v>1</v>
      </c>
      <c r="B22" s="97" t="s">
        <v>175</v>
      </c>
      <c r="C22" s="97" t="s">
        <v>238</v>
      </c>
      <c r="D22" s="97" t="s">
        <v>181</v>
      </c>
      <c r="E22" s="103"/>
      <c r="F22" s="103"/>
      <c r="G22" s="104"/>
      <c r="H22" s="105"/>
      <c r="I22" s="103"/>
      <c r="J22" s="103">
        <v>49976640</v>
      </c>
      <c r="K22" s="103"/>
      <c r="L22" s="118"/>
      <c r="M22" s="97" t="s">
        <v>239</v>
      </c>
      <c r="N22" s="119"/>
      <c r="O22" s="108"/>
      <c r="P22" s="136">
        <v>47477808</v>
      </c>
      <c r="Q22" s="109">
        <v>0.95</v>
      </c>
      <c r="R22" s="110">
        <f t="shared" ref="R22:R26" si="5">P22/J$28*100</f>
        <v>0.49953499093917042</v>
      </c>
      <c r="S22" s="109">
        <v>0.95</v>
      </c>
      <c r="T22" s="134">
        <f t="shared" ref="T22:T26" si="6">((S22/100*J22)/J$28*100)*100</f>
        <v>0.49953499093917042</v>
      </c>
      <c r="U22" s="137"/>
    </row>
    <row r="23" spans="1:28" s="122" customFormat="1" ht="56.25" customHeight="1" x14ac:dyDescent="0.25">
      <c r="A23" s="102">
        <v>2</v>
      </c>
      <c r="B23" s="97" t="s">
        <v>176</v>
      </c>
      <c r="C23" s="97" t="s">
        <v>240</v>
      </c>
      <c r="D23" s="97" t="s">
        <v>250</v>
      </c>
      <c r="E23" s="103"/>
      <c r="F23" s="103"/>
      <c r="G23" s="104"/>
      <c r="H23" s="105"/>
      <c r="I23" s="103"/>
      <c r="J23" s="103">
        <v>49750200</v>
      </c>
      <c r="K23" s="103"/>
      <c r="L23" s="118"/>
      <c r="M23" s="97" t="s">
        <v>251</v>
      </c>
      <c r="N23" s="119"/>
      <c r="O23" s="108"/>
      <c r="P23" s="136">
        <v>47262690</v>
      </c>
      <c r="Q23" s="109">
        <v>0.95</v>
      </c>
      <c r="R23" s="110">
        <f t="shared" si="5"/>
        <v>0.49727163943438202</v>
      </c>
      <c r="S23" s="109">
        <v>0.95</v>
      </c>
      <c r="T23" s="134">
        <f t="shared" si="6"/>
        <v>0.49727163943438202</v>
      </c>
      <c r="U23" s="137"/>
      <c r="V23" s="121"/>
      <c r="W23" s="121"/>
      <c r="X23" s="121"/>
      <c r="AA23" s="123"/>
      <c r="AB23" s="123"/>
    </row>
    <row r="24" spans="1:28" s="125" customFormat="1" ht="56.25" customHeight="1" x14ac:dyDescent="0.25">
      <c r="A24" s="102">
        <v>3</v>
      </c>
      <c r="B24" s="97" t="s">
        <v>177</v>
      </c>
      <c r="C24" s="97" t="s">
        <v>241</v>
      </c>
      <c r="D24" s="97" t="s">
        <v>242</v>
      </c>
      <c r="E24" s="103"/>
      <c r="F24" s="103"/>
      <c r="G24" s="104"/>
      <c r="H24" s="105"/>
      <c r="I24" s="103"/>
      <c r="J24" s="103">
        <v>49885025.039999999</v>
      </c>
      <c r="K24" s="103"/>
      <c r="L24" s="118"/>
      <c r="M24" s="97" t="s">
        <v>243</v>
      </c>
      <c r="N24" s="119"/>
      <c r="O24" s="108"/>
      <c r="P24" s="136">
        <v>47390774</v>
      </c>
      <c r="Q24" s="109">
        <v>0.95</v>
      </c>
      <c r="R24" s="110">
        <f t="shared" si="5"/>
        <v>0.49861926777854343</v>
      </c>
      <c r="S24" s="109">
        <v>0.95</v>
      </c>
      <c r="T24" s="134">
        <f t="shared" si="6"/>
        <v>0.49861926554799774</v>
      </c>
      <c r="U24" s="137"/>
      <c r="V24" s="124"/>
      <c r="W24" s="124"/>
      <c r="X24" s="124"/>
      <c r="Z24" s="126" t="e">
        <f>(F22/E22)*100%</f>
        <v>#DIV/0!</v>
      </c>
      <c r="AA24" s="127">
        <f>(100/110)*E22</f>
        <v>0</v>
      </c>
      <c r="AB24" s="127">
        <f>(10/100)*AA24</f>
        <v>0</v>
      </c>
    </row>
    <row r="25" spans="1:28" s="125" customFormat="1" ht="66" customHeight="1" x14ac:dyDescent="0.25">
      <c r="A25" s="102">
        <v>4</v>
      </c>
      <c r="B25" s="97" t="s">
        <v>178</v>
      </c>
      <c r="C25" s="97" t="s">
        <v>244</v>
      </c>
      <c r="D25" s="97" t="s">
        <v>245</v>
      </c>
      <c r="E25" s="103"/>
      <c r="F25" s="103"/>
      <c r="G25" s="104"/>
      <c r="H25" s="105"/>
      <c r="I25" s="103"/>
      <c r="J25" s="103">
        <v>49839000</v>
      </c>
      <c r="K25" s="103"/>
      <c r="L25" s="118"/>
      <c r="M25" s="97" t="s">
        <v>246</v>
      </c>
      <c r="N25" s="119"/>
      <c r="O25" s="108"/>
      <c r="P25" s="136">
        <v>47347050</v>
      </c>
      <c r="Q25" s="109">
        <v>0.95</v>
      </c>
      <c r="R25" s="110">
        <f t="shared" si="5"/>
        <v>0.4981592282597892</v>
      </c>
      <c r="S25" s="109">
        <v>0.95</v>
      </c>
      <c r="T25" s="134">
        <f t="shared" si="6"/>
        <v>0.49815922825978931</v>
      </c>
      <c r="U25" s="137"/>
      <c r="V25" s="124"/>
      <c r="W25" s="124"/>
      <c r="X25" s="124" t="s">
        <v>33</v>
      </c>
      <c r="Z25" s="126" t="e">
        <f>(F23/E23)*100%</f>
        <v>#DIV/0!</v>
      </c>
      <c r="AA25" s="127">
        <f>(100/110)*E23</f>
        <v>0</v>
      </c>
      <c r="AB25" s="127">
        <f t="shared" ref="AB25:AB28" si="7">(10/100)*AA25</f>
        <v>0</v>
      </c>
    </row>
    <row r="26" spans="1:28" s="125" customFormat="1" ht="56.25" customHeight="1" x14ac:dyDescent="0.25">
      <c r="A26" s="112">
        <v>5</v>
      </c>
      <c r="B26" s="97" t="s">
        <v>179</v>
      </c>
      <c r="C26" s="97" t="s">
        <v>247</v>
      </c>
      <c r="D26" s="120" t="s">
        <v>248</v>
      </c>
      <c r="E26" s="113"/>
      <c r="F26" s="103"/>
      <c r="G26" s="114"/>
      <c r="H26" s="105"/>
      <c r="I26" s="103"/>
      <c r="J26" s="113">
        <v>49950000</v>
      </c>
      <c r="K26" s="103"/>
      <c r="L26" s="118"/>
      <c r="M26" s="97" t="s">
        <v>249</v>
      </c>
      <c r="N26" s="119"/>
      <c r="O26" s="108"/>
      <c r="P26" s="136">
        <v>49950000</v>
      </c>
      <c r="Q26" s="109">
        <v>1</v>
      </c>
      <c r="R26" s="110">
        <f t="shared" si="5"/>
        <v>0.52554601504373499</v>
      </c>
      <c r="S26" s="109">
        <v>1</v>
      </c>
      <c r="T26" s="134">
        <f t="shared" si="6"/>
        <v>0.52554601504373488</v>
      </c>
      <c r="U26" s="137"/>
      <c r="V26" s="124"/>
      <c r="W26" s="124"/>
      <c r="X26" s="124"/>
      <c r="Z26" s="126" t="e">
        <f>(F24/E24)*100%</f>
        <v>#DIV/0!</v>
      </c>
      <c r="AA26" s="127">
        <f>(100/110)*E24</f>
        <v>0</v>
      </c>
      <c r="AB26" s="127">
        <f t="shared" si="7"/>
        <v>0</v>
      </c>
    </row>
    <row r="27" spans="1:28" s="125" customFormat="1" ht="26.25" customHeight="1" x14ac:dyDescent="0.25">
      <c r="A27" s="41" t="s">
        <v>92</v>
      </c>
      <c r="B27" s="42"/>
      <c r="C27" s="42"/>
      <c r="D27" s="43"/>
      <c r="E27" s="42"/>
      <c r="F27" s="42"/>
      <c r="G27" s="44"/>
      <c r="H27" s="43"/>
      <c r="I27" s="43"/>
      <c r="J27" s="45">
        <f>SUM(J22:J26)</f>
        <v>249400865.03999999</v>
      </c>
      <c r="K27" s="45">
        <f>SUM(K15:K26)</f>
        <v>0</v>
      </c>
      <c r="L27" s="91"/>
      <c r="M27" s="43"/>
      <c r="N27" s="43"/>
      <c r="O27" s="47"/>
      <c r="P27" s="45">
        <f>SUM(P22:P26)</f>
        <v>239428322</v>
      </c>
      <c r="Q27" s="93"/>
      <c r="R27" s="48">
        <f>SUM(R22:R26)</f>
        <v>2.5191311414556199</v>
      </c>
      <c r="S27" s="116"/>
      <c r="T27" s="48">
        <f>SUM(T22:T26)</f>
        <v>2.5191311392250744</v>
      </c>
      <c r="U27" s="48"/>
      <c r="V27" s="124"/>
      <c r="W27" s="124"/>
      <c r="X27" s="124"/>
      <c r="Z27" s="126"/>
      <c r="AA27" s="127"/>
      <c r="AB27" s="127"/>
    </row>
    <row r="28" spans="1:28" s="130" customFormat="1" ht="36.75" customHeight="1" x14ac:dyDescent="0.25">
      <c r="A28" s="41"/>
      <c r="B28" s="52" t="s">
        <v>93</v>
      </c>
      <c r="C28" s="52"/>
      <c r="D28" s="52"/>
      <c r="E28" s="52"/>
      <c r="F28" s="52"/>
      <c r="G28" s="52"/>
      <c r="H28" s="52"/>
      <c r="I28" s="52"/>
      <c r="J28" s="45">
        <f>J20+J27</f>
        <v>9504400865.0400009</v>
      </c>
      <c r="K28" s="52"/>
      <c r="L28" s="52"/>
      <c r="M28" s="52"/>
      <c r="N28" s="53"/>
      <c r="O28" s="47"/>
      <c r="P28" s="51">
        <f>P20+P27</f>
        <v>8668728322</v>
      </c>
      <c r="Q28" s="43"/>
      <c r="R28" s="48">
        <f>R20+R27</f>
        <v>91.207520022499764</v>
      </c>
      <c r="S28" s="116"/>
      <c r="T28" s="48">
        <f>T20+T27</f>
        <v>93.413866353696093</v>
      </c>
      <c r="U28" s="48"/>
      <c r="V28" s="124"/>
      <c r="W28" s="133">
        <f>G26-W11</f>
        <v>0</v>
      </c>
      <c r="X28" s="129" t="e">
        <f>W28*#REF!</f>
        <v>#REF!</v>
      </c>
      <c r="Z28" s="126" t="e">
        <f>(F26/E26)*100%</f>
        <v>#DIV/0!</v>
      </c>
      <c r="AA28" s="131">
        <f>(100/110)*E26</f>
        <v>0</v>
      </c>
      <c r="AB28" s="131">
        <f t="shared" si="7"/>
        <v>0</v>
      </c>
    </row>
    <row r="29" spans="1:28" s="47" customFormat="1" ht="23.2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8" s="47" customFormat="1" ht="23.2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28" s="54" customFormat="1" ht="15.75" x14ac:dyDescent="0.25">
      <c r="P31" s="54" t="s">
        <v>253</v>
      </c>
    </row>
    <row r="32" spans="1:28" s="54" customFormat="1" ht="15.75" x14ac:dyDescent="0.25">
      <c r="P32" s="54" t="s">
        <v>227</v>
      </c>
    </row>
    <row r="33" spans="16:16" s="54" customFormat="1" ht="15.75" x14ac:dyDescent="0.25"/>
    <row r="34" spans="16:16" s="54" customFormat="1" ht="15.75" x14ac:dyDescent="0.25"/>
    <row r="35" spans="16:16" s="54" customFormat="1" ht="15.75" x14ac:dyDescent="0.25"/>
    <row r="36" spans="16:16" s="54" customFormat="1" ht="28.5" customHeight="1" x14ac:dyDescent="0.25">
      <c r="P36" s="68" t="s">
        <v>183</v>
      </c>
    </row>
    <row r="37" spans="16:16" s="54" customFormat="1" ht="15.75" x14ac:dyDescent="0.25">
      <c r="P37" s="54" t="s">
        <v>184</v>
      </c>
    </row>
    <row r="38" spans="16:16" s="54" customFormat="1" ht="15.75" x14ac:dyDescent="0.25"/>
    <row r="39" spans="16:16" s="54" customFormat="1" ht="15.75" x14ac:dyDescent="0.25"/>
  </sheetData>
  <mergeCells count="14">
    <mergeCell ref="U6:U7"/>
    <mergeCell ref="N6:N7"/>
    <mergeCell ref="P6:R6"/>
    <mergeCell ref="S6:T6"/>
    <mergeCell ref="A1:T1"/>
    <mergeCell ref="A2:T2"/>
    <mergeCell ref="A3:T3"/>
    <mergeCell ref="A6:A7"/>
    <mergeCell ref="B6:B7"/>
    <mergeCell ref="C6:C7"/>
    <mergeCell ref="D6:D7"/>
    <mergeCell ref="J6:J7"/>
    <mergeCell ref="L6:L7"/>
    <mergeCell ref="M6:M7"/>
  </mergeCells>
  <printOptions horizontalCentered="1"/>
  <pageMargins left="0.11811023622047245" right="0.11811023622047245" top="0.15748031496062992" bottom="0.19685039370078741" header="0.11811023622047245" footer="0.11811023622047245"/>
  <pageSetup paperSize="5" scale="39" orientation="landscape" horizontalDpi="4294967293" verticalDpi="360" r:id="rId1"/>
  <rowBreaks count="1" manualBreakCount="1">
    <brk id="20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air minum Juni</vt:lpstr>
      <vt:lpstr>sanitasi agustus</vt:lpstr>
      <vt:lpstr>LAP. SPAM 2024</vt:lpstr>
      <vt:lpstr>'air minum Juni'!Print_Area</vt:lpstr>
      <vt:lpstr>'LAP. SPAM 2024'!Print_Area</vt:lpstr>
      <vt:lpstr>'sanitasi agustus'!Print_Area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PERUMAHAN</dc:creator>
  <cp:lastModifiedBy>MY PC</cp:lastModifiedBy>
  <cp:lastPrinted>2024-07-31T02:17:02Z</cp:lastPrinted>
  <dcterms:created xsi:type="dcterms:W3CDTF">2022-06-23T14:54:19Z</dcterms:created>
  <dcterms:modified xsi:type="dcterms:W3CDTF">2025-09-24T00:45:36Z</dcterms:modified>
</cp:coreProperties>
</file>